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krine\Advanced Electronics\Marketing - Documents\Marketing Team\Marcomms\Campaigns\BS8629\"/>
    </mc:Choice>
  </mc:AlternateContent>
  <xr:revisionPtr revIDLastSave="0" documentId="8_{1D98C4A1-EB04-4096-94ED-EDD195F4B0E2}" xr6:coauthVersionLast="45" xr6:coauthVersionMax="45" xr10:uidLastSave="{00000000-0000-0000-0000-000000000000}"/>
  <bookViews>
    <workbookView xWindow="-120" yWindow="-120" windowWidth="25440" windowHeight="15390"/>
  </bookViews>
  <sheets>
    <sheet name="EACIE" sheetId="1" r:id="rId1"/>
    <sheet name="PSE" sheetId="3" r:id="rId2"/>
    <sheet name="Data" sheetId="2" r:id="rId3"/>
  </sheets>
  <definedNames>
    <definedName name="Apollo">Data!$A:$A</definedName>
    <definedName name="Device">Data!$A$1:$A$2</definedName>
    <definedName name="NBRLED">EACIE!$M$43</definedName>
    <definedName name="_xlnm.Print_Area" localSheetId="0">EACIE!$A$7:$AC$49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V18" i="1"/>
  <c r="W18" i="1"/>
  <c r="X18" i="1"/>
  <c r="V19" i="1"/>
  <c r="W19" i="1"/>
  <c r="X19" i="1"/>
  <c r="R18" i="1"/>
  <c r="S18" i="1"/>
  <c r="T18" i="1"/>
  <c r="R19" i="1"/>
  <c r="S19" i="1"/>
  <c r="T19" i="1"/>
  <c r="N19" i="1"/>
  <c r="O19" i="1"/>
  <c r="P19" i="1"/>
  <c r="L19" i="1"/>
  <c r="L17" i="1"/>
  <c r="L16" i="1"/>
  <c r="L15" i="1"/>
  <c r="L14" i="1"/>
  <c r="L13" i="1"/>
  <c r="U40" i="1"/>
  <c r="Y40" i="1"/>
  <c r="AC40" i="1"/>
  <c r="Z13" i="1"/>
  <c r="V13" i="1"/>
  <c r="AC45" i="1"/>
  <c r="N13" i="1"/>
  <c r="N14" i="1"/>
  <c r="N15" i="1"/>
  <c r="N16" i="1"/>
  <c r="N17" i="1"/>
  <c r="O13" i="1"/>
  <c r="P13" i="1"/>
  <c r="O14" i="1"/>
  <c r="P14" i="1"/>
  <c r="O15" i="1"/>
  <c r="P15" i="1"/>
  <c r="O16" i="1"/>
  <c r="P16" i="1"/>
  <c r="N18" i="1"/>
  <c r="O18" i="1"/>
  <c r="P18" i="1"/>
  <c r="B23" i="1"/>
  <c r="D18" i="1"/>
  <c r="E18" i="1"/>
  <c r="D20" i="1"/>
  <c r="E20" i="1"/>
  <c r="D22" i="1"/>
  <c r="D17" i="1"/>
  <c r="D19" i="1"/>
  <c r="G5" i="3"/>
  <c r="F6" i="3"/>
  <c r="G6" i="3"/>
  <c r="F5" i="3"/>
  <c r="D5" i="3"/>
  <c r="D6" i="3"/>
  <c r="F4" i="3"/>
  <c r="G4" i="3"/>
  <c r="D4" i="3"/>
  <c r="D8" i="3"/>
  <c r="D9" i="3"/>
  <c r="G10" i="3"/>
  <c r="D21" i="1"/>
  <c r="G22" i="1"/>
  <c r="H22" i="1"/>
  <c r="E22" i="1"/>
  <c r="G20" i="1"/>
  <c r="H20" i="1"/>
  <c r="G18" i="1"/>
  <c r="M10" i="1"/>
  <c r="R13" i="1"/>
  <c r="S13" i="1"/>
  <c r="T13" i="1"/>
  <c r="W13" i="1"/>
  <c r="X13" i="1"/>
  <c r="AA13" i="1"/>
  <c r="AB13" i="1"/>
  <c r="C14" i="1"/>
  <c r="E14" i="1"/>
  <c r="F14" i="1"/>
  <c r="H14" i="1"/>
  <c r="R14" i="1"/>
  <c r="S14" i="1"/>
  <c r="T14" i="1"/>
  <c r="V14" i="1"/>
  <c r="W14" i="1"/>
  <c r="X14" i="1"/>
  <c r="Z14" i="1"/>
  <c r="AA14" i="1"/>
  <c r="AB14" i="1"/>
  <c r="R15" i="1"/>
  <c r="S15" i="1"/>
  <c r="T15" i="1"/>
  <c r="V15" i="1"/>
  <c r="W15" i="1"/>
  <c r="X15" i="1"/>
  <c r="Z15" i="1"/>
  <c r="AA15" i="1"/>
  <c r="AB15" i="1"/>
  <c r="E16" i="1"/>
  <c r="H16" i="1"/>
  <c r="R16" i="1"/>
  <c r="R40" i="1" s="1"/>
  <c r="S16" i="1"/>
  <c r="T16" i="1"/>
  <c r="V16" i="1"/>
  <c r="W16" i="1"/>
  <c r="X16" i="1"/>
  <c r="Z16" i="1"/>
  <c r="AA16" i="1"/>
  <c r="AB16" i="1"/>
  <c r="AB40" i="1" s="1"/>
  <c r="O17" i="1"/>
  <c r="P17" i="1"/>
  <c r="R17" i="1"/>
  <c r="S17" i="1"/>
  <c r="S40" i="1" s="1"/>
  <c r="Q45" i="1" s="1"/>
  <c r="F17" i="1" s="1"/>
  <c r="H17" i="1" s="1"/>
  <c r="T17" i="1"/>
  <c r="V17" i="1"/>
  <c r="W17" i="1"/>
  <c r="X17" i="1"/>
  <c r="Z17" i="1"/>
  <c r="AA17" i="1"/>
  <c r="AB17" i="1"/>
  <c r="H18" i="1"/>
  <c r="Z18" i="1"/>
  <c r="AA18" i="1"/>
  <c r="AB18" i="1"/>
  <c r="Z19" i="1"/>
  <c r="Y44" i="1" s="1"/>
  <c r="C23" i="1" s="1"/>
  <c r="E23" i="1" s="1"/>
  <c r="AA19" i="1"/>
  <c r="AB19" i="1"/>
  <c r="G23" i="1"/>
  <c r="AF27" i="1"/>
  <c r="AG27" i="1"/>
  <c r="B28" i="1"/>
  <c r="E28" i="1"/>
  <c r="H28" i="1"/>
  <c r="AF28" i="1"/>
  <c r="AG28" i="1"/>
  <c r="E29" i="1"/>
  <c r="H29" i="1"/>
  <c r="AF29" i="1"/>
  <c r="AG29" i="1"/>
  <c r="AF30" i="1"/>
  <c r="AG30" i="1"/>
  <c r="H31" i="1"/>
  <c r="H32" i="1"/>
  <c r="B33" i="1"/>
  <c r="H33" i="1"/>
  <c r="B34" i="1"/>
  <c r="H34" i="1"/>
  <c r="E43" i="1"/>
  <c r="E44" i="1"/>
  <c r="E45" i="1"/>
  <c r="E46" i="1"/>
  <c r="E47" i="1"/>
  <c r="G8" i="3"/>
  <c r="G9" i="3"/>
  <c r="G11" i="3"/>
  <c r="G12" i="3"/>
  <c r="Q44" i="1"/>
  <c r="C17" i="1" s="1"/>
  <c r="E17" i="1" s="1"/>
  <c r="M44" i="1" l="1"/>
  <c r="C15" i="1" s="1"/>
  <c r="E15" i="1" s="1"/>
  <c r="AA40" i="1"/>
  <c r="Y45" i="1" s="1"/>
  <c r="Y46" i="1" s="1"/>
  <c r="P40" i="1"/>
  <c r="U44" i="1"/>
  <c r="C21" i="1" s="1"/>
  <c r="E21" i="1" s="1"/>
  <c r="O40" i="1"/>
  <c r="M45" i="1" s="1"/>
  <c r="F15" i="1" s="1"/>
  <c r="H15" i="1" s="1"/>
  <c r="V40" i="1"/>
  <c r="AA45" i="1"/>
  <c r="Z45" i="1"/>
  <c r="W40" i="1"/>
  <c r="U45" i="1" s="1"/>
  <c r="U46" i="1" s="1"/>
  <c r="Z40" i="1"/>
  <c r="X45" i="1" s="1"/>
  <c r="X40" i="1"/>
  <c r="V45" i="1" s="1"/>
  <c r="Q46" i="1"/>
  <c r="M46" i="1"/>
  <c r="F21" i="1"/>
  <c r="H21" i="1" s="1"/>
  <c r="F23" i="1"/>
  <c r="H23" i="1" s="1"/>
  <c r="N40" i="1"/>
  <c r="W45" i="1"/>
  <c r="T40" i="1"/>
  <c r="AB45" i="1"/>
  <c r="F19" i="1" l="1"/>
  <c r="H19" i="1" s="1"/>
  <c r="C19" i="1"/>
  <c r="E19" i="1" s="1"/>
  <c r="E35" i="1" s="1"/>
  <c r="E36" i="1" s="1"/>
  <c r="H37" i="1" s="1"/>
  <c r="H35" i="1"/>
  <c r="H36" i="1" s="1"/>
  <c r="H38" i="1" l="1"/>
  <c r="H39" i="1" s="1"/>
  <c r="C48" i="1" s="1"/>
  <c r="E48" i="1" s="1"/>
</calcChain>
</file>

<file path=xl/sharedStrings.xml><?xml version="1.0" encoding="utf-8"?>
<sst xmlns="http://schemas.openxmlformats.org/spreadsheetml/2006/main" count="133" uniqueCount="75">
  <si>
    <t>No Device Selected</t>
  </si>
  <si>
    <t>NONE</t>
  </si>
  <si>
    <t>DEVICE</t>
  </si>
  <si>
    <t>DESCRIPTION</t>
  </si>
  <si>
    <t>Alarm Load</t>
  </si>
  <si>
    <t>Quiescent Load</t>
  </si>
  <si>
    <t>Loop / Load Status</t>
  </si>
  <si>
    <t>Project</t>
  </si>
  <si>
    <t>Completed by</t>
  </si>
  <si>
    <t>Date</t>
  </si>
  <si>
    <t>Fire Alarm Load</t>
  </si>
  <si>
    <t>I(A)</t>
  </si>
  <si>
    <t>X</t>
  </si>
  <si>
    <t>Total</t>
  </si>
  <si>
    <t>Sensor  / Loop Current*</t>
  </si>
  <si>
    <r>
      <t xml:space="preserve">Loop Driver </t>
    </r>
    <r>
      <rPr>
        <b/>
        <i/>
        <sz val="8"/>
        <rFont val="Arial"/>
        <family val="2"/>
      </rPr>
      <t>Loop 1</t>
    </r>
  </si>
  <si>
    <r>
      <t xml:space="preserve">Loop Driver </t>
    </r>
    <r>
      <rPr>
        <b/>
        <i/>
        <sz val="8"/>
        <rFont val="Arial"/>
        <family val="2"/>
      </rPr>
      <t>Loop 2</t>
    </r>
  </si>
  <si>
    <r>
      <t xml:space="preserve">Loop Driver </t>
    </r>
    <r>
      <rPr>
        <b/>
        <i/>
        <sz val="8"/>
        <rFont val="Arial"/>
        <family val="2"/>
      </rPr>
      <t>Loop 3</t>
    </r>
  </si>
  <si>
    <r>
      <t xml:space="preserve">Loop Driver </t>
    </r>
    <r>
      <rPr>
        <b/>
        <i/>
        <sz val="8"/>
        <rFont val="Arial"/>
        <family val="2"/>
      </rPr>
      <t>Loop 4</t>
    </r>
  </si>
  <si>
    <t>Sounder Output A</t>
  </si>
  <si>
    <t>Sounder Output B</t>
  </si>
  <si>
    <t>ΣAlarm Load</t>
  </si>
  <si>
    <t xml:space="preserve">Standby Duration (hours) = </t>
  </si>
  <si>
    <t>Hr</t>
  </si>
  <si>
    <t>→ (carry forward) +</t>
  </si>
  <si>
    <t>Total Load (Quiescent + Alarm) =</t>
  </si>
  <si>
    <t>X 1.25 (Battery De-rating factor)** =</t>
  </si>
  <si>
    <t>Chassis</t>
  </si>
  <si>
    <t>Q</t>
  </si>
  <si>
    <t>A</t>
  </si>
  <si>
    <t>NETWORK</t>
  </si>
  <si>
    <t>LCD DIMMING MODE</t>
  </si>
  <si>
    <t>OFF</t>
  </si>
  <si>
    <t>DIM</t>
  </si>
  <si>
    <t>ON</t>
  </si>
  <si>
    <t>MXP-509</t>
  </si>
  <si>
    <t>MXP-503</t>
  </si>
  <si>
    <t>MXP-507</t>
  </si>
  <si>
    <t>MXP-532</t>
  </si>
  <si>
    <t>MXP-512</t>
  </si>
  <si>
    <t>MXP-504</t>
  </si>
  <si>
    <t>MXP-504/508</t>
  </si>
  <si>
    <t>ANCILLARY SUPPLY OUTPUT (AUX)</t>
  </si>
  <si>
    <t>MINIMUM ENCLOSURE</t>
  </si>
  <si>
    <t>OPTIONS:</t>
  </si>
  <si>
    <t>ΣQuiescent Load</t>
  </si>
  <si>
    <t>F200</t>
  </si>
  <si>
    <t>MXP-536</t>
  </si>
  <si>
    <t>MXP-537</t>
  </si>
  <si>
    <t>MXP-547</t>
  </si>
  <si>
    <t>Relay Output Module</t>
  </si>
  <si>
    <t>Isolator Module</t>
  </si>
  <si>
    <t>Weighting</t>
  </si>
  <si>
    <t>Wireless Translator Module</t>
  </si>
  <si>
    <t>LP 1</t>
  </si>
  <si>
    <t>LP 3</t>
  </si>
  <si>
    <t>LP 4</t>
  </si>
  <si>
    <t>Fitted</t>
  </si>
  <si>
    <t>LP 2</t>
  </si>
  <si>
    <t>NotFit</t>
  </si>
  <si>
    <t>X(1.75 x 0.5) =</t>
  </si>
  <si>
    <t>Mxp-536</t>
  </si>
  <si>
    <t>Mxp-537</t>
  </si>
  <si>
    <t>Mxp-539</t>
  </si>
  <si>
    <t>AXIS-CWS + WSM</t>
  </si>
  <si>
    <t>AXIS-CWSV + WSM</t>
  </si>
  <si>
    <t>Axis Wall Sounder &amp; Intelligent Module</t>
  </si>
  <si>
    <t>Axis Wall Sounder VAD &amp; Intelligent Module</t>
  </si>
  <si>
    <t>EACIE PANEL</t>
  </si>
  <si>
    <t>LVM100-ADV</t>
  </si>
  <si>
    <t>VMC120-ADV</t>
  </si>
  <si>
    <t>VW2W100-ADV</t>
  </si>
  <si>
    <t>PSE</t>
  </si>
  <si>
    <t>REV: 02</t>
  </si>
  <si>
    <t>EvacGo Logo RGB 300dpi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</si>
</sst>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7" formatCode="0.000"/>
    <numFmt numFmtId="170" formatCode="0.000000"/>
    <numFmt numFmtId="175" formatCode="mmmm\ d\,\ yyyy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8.5"/>
      <name val="Arial"/>
      <family val="2"/>
    </font>
    <font>
      <sz val="10"/>
      <color theme="0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Protection="1"/>
    <xf numFmtId="0" fontId="0" fillId="0" borderId="3" xfId="0" applyBorder="1"/>
    <xf numFmtId="0" fontId="4" fillId="0" borderId="1" xfId="0" applyFont="1" applyFill="1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8" xfId="0" applyBorder="1"/>
    <xf numFmtId="164" fontId="0" fillId="0" borderId="1" xfId="0" applyNumberFormat="1" applyFill="1" applyBorder="1" applyProtection="1"/>
    <xf numFmtId="0" fontId="6" fillId="0" borderId="1" xfId="0" applyFont="1" applyFill="1" applyBorder="1" applyProtection="1"/>
    <xf numFmtId="0" fontId="1" fillId="0" borderId="1" xfId="0" applyFont="1" applyFill="1" applyBorder="1" applyProtection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164" fontId="0" fillId="2" borderId="0" xfId="0" applyNumberFormat="1" applyFill="1" applyBorder="1"/>
    <xf numFmtId="0" fontId="0" fillId="0" borderId="0" xfId="0" applyBorder="1"/>
    <xf numFmtId="0" fontId="0" fillId="2" borderId="9" xfId="0" applyFill="1" applyBorder="1"/>
    <xf numFmtId="164" fontId="0" fillId="2" borderId="10" xfId="0" applyNumberFormat="1" applyFill="1" applyBorder="1"/>
    <xf numFmtId="164" fontId="0" fillId="2" borderId="4" xfId="0" applyNumberFormat="1" applyFill="1" applyBorder="1"/>
    <xf numFmtId="0" fontId="2" fillId="0" borderId="1" xfId="0" applyFont="1" applyFill="1" applyBorder="1"/>
    <xf numFmtId="0" fontId="4" fillId="0" borderId="1" xfId="0" applyFont="1" applyBorder="1" applyProtection="1"/>
    <xf numFmtId="0" fontId="0" fillId="0" borderId="1" xfId="0" applyFill="1" applyBorder="1" applyProtection="1"/>
    <xf numFmtId="164" fontId="0" fillId="0" borderId="3" xfId="0" applyNumberFormat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7" fontId="0" fillId="0" borderId="1" xfId="0" applyNumberFormat="1" applyBorder="1"/>
    <xf numFmtId="167" fontId="0" fillId="0" borderId="1" xfId="0" applyNumberFormat="1" applyFill="1" applyBorder="1" applyProtection="1"/>
    <xf numFmtId="167" fontId="3" fillId="0" borderId="1" xfId="0" applyNumberFormat="1" applyFont="1" applyBorder="1"/>
    <xf numFmtId="167" fontId="0" fillId="0" borderId="1" xfId="0" applyNumberFormat="1" applyBorder="1" applyProtection="1"/>
    <xf numFmtId="167" fontId="0" fillId="0" borderId="4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0" fontId="6" fillId="3" borderId="1" xfId="0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0" borderId="0" xfId="0" applyFill="1" applyBorder="1"/>
    <xf numFmtId="170" fontId="0" fillId="0" borderId="0" xfId="0" applyNumberFormat="1"/>
    <xf numFmtId="2" fontId="2" fillId="4" borderId="4" xfId="0" applyNumberFormat="1" applyFont="1" applyFill="1" applyBorder="1" applyAlignment="1">
      <alignment horizontal="right"/>
    </xf>
    <xf numFmtId="164" fontId="0" fillId="0" borderId="1" xfId="0" applyNumberFormat="1" applyBorder="1"/>
    <xf numFmtId="0" fontId="5" fillId="0" borderId="2" xfId="0" applyFont="1" applyBorder="1"/>
    <xf numFmtId="0" fontId="2" fillId="0" borderId="6" xfId="0" applyFont="1" applyBorder="1"/>
    <xf numFmtId="0" fontId="2" fillId="0" borderId="3" xfId="0" applyFont="1" applyBorder="1"/>
    <xf numFmtId="2" fontId="2" fillId="0" borderId="4" xfId="0" applyNumberFormat="1" applyFont="1" applyBorder="1"/>
    <xf numFmtId="2" fontId="2" fillId="0" borderId="3" xfId="0" applyNumberFormat="1" applyFont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0" xfId="0" applyFill="1" applyBorder="1"/>
    <xf numFmtId="0" fontId="0" fillId="5" borderId="16" xfId="0" applyFill="1" applyBorder="1"/>
    <xf numFmtId="0" fontId="0" fillId="5" borderId="16" xfId="0" applyFill="1" applyBorder="1" applyProtection="1">
      <protection locked="0"/>
    </xf>
    <xf numFmtId="0" fontId="2" fillId="5" borderId="16" xfId="0" applyFont="1" applyFill="1" applyBorder="1"/>
    <xf numFmtId="0" fontId="2" fillId="5" borderId="16" xfId="0" applyFont="1" applyFill="1" applyBorder="1" applyAlignment="1">
      <alignment horizontal="center"/>
    </xf>
    <xf numFmtId="164" fontId="0" fillId="5" borderId="16" xfId="0" applyNumberFormat="1" applyFill="1" applyBorder="1"/>
    <xf numFmtId="0" fontId="0" fillId="5" borderId="16" xfId="0" applyNumberFormat="1" applyFill="1" applyBorder="1"/>
    <xf numFmtId="0" fontId="0" fillId="5" borderId="16" xfId="0" applyFill="1" applyBorder="1" applyAlignment="1">
      <alignment horizontal="right"/>
    </xf>
    <xf numFmtId="2" fontId="2" fillId="5" borderId="16" xfId="0" applyNumberFormat="1" applyFont="1" applyFill="1" applyBorder="1" applyAlignment="1">
      <alignment horizontal="right"/>
    </xf>
    <xf numFmtId="0" fontId="0" fillId="5" borderId="17" xfId="0" applyFill="1" applyBorder="1"/>
    <xf numFmtId="0" fontId="0" fillId="5" borderId="9" xfId="0" applyFill="1" applyBorder="1"/>
    <xf numFmtId="164" fontId="0" fillId="5" borderId="0" xfId="0" applyNumberFormat="1" applyFill="1" applyBorder="1"/>
    <xf numFmtId="49" fontId="3" fillId="5" borderId="9" xfId="0" applyNumberFormat="1" applyFont="1" applyFill="1" applyBorder="1"/>
    <xf numFmtId="0" fontId="3" fillId="5" borderId="9" xfId="0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0" fontId="0" fillId="0" borderId="0" xfId="0" applyNumberFormat="1" applyBorder="1"/>
    <xf numFmtId="0" fontId="7" fillId="5" borderId="0" xfId="0" applyFont="1" applyFill="1" applyBorder="1" applyAlignment="1"/>
    <xf numFmtId="0" fontId="0" fillId="0" borderId="0" xfId="0" applyBorder="1" applyAlignment="1"/>
    <xf numFmtId="170" fontId="0" fillId="0" borderId="0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3" fillId="0" borderId="1" xfId="0" applyFont="1" applyFill="1" applyBorder="1" applyAlignment="1">
      <alignment horizontal="center"/>
    </xf>
    <xf numFmtId="0" fontId="3" fillId="6" borderId="1" xfId="0" applyFont="1" applyFill="1" applyBorder="1" applyProtection="1">
      <protection locked="0"/>
    </xf>
    <xf numFmtId="0" fontId="3" fillId="0" borderId="4" xfId="0" applyFont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8" fillId="0" borderId="0" xfId="0" applyFont="1"/>
    <xf numFmtId="49" fontId="8" fillId="0" borderId="0" xfId="0" applyNumberFormat="1" applyFont="1"/>
    <xf numFmtId="164" fontId="0" fillId="7" borderId="3" xfId="0" applyNumberFormat="1" applyFill="1" applyBorder="1" applyProtection="1"/>
    <xf numFmtId="167" fontId="0" fillId="7" borderId="1" xfId="0" applyNumberForma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49" fontId="2" fillId="8" borderId="1" xfId="0" applyNumberFormat="1" applyFont="1" applyFill="1" applyBorder="1" applyProtection="1">
      <protection locked="0"/>
    </xf>
    <xf numFmtId="0" fontId="1" fillId="9" borderId="1" xfId="0" applyFont="1" applyFill="1" applyBorder="1" applyProtection="1"/>
    <xf numFmtId="167" fontId="0" fillId="0" borderId="1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0" fillId="10" borderId="0" xfId="0" applyFill="1" applyBorder="1"/>
    <xf numFmtId="0" fontId="0" fillId="10" borderId="0" xfId="0" applyFill="1" applyBorder="1" applyAlignment="1"/>
    <xf numFmtId="0" fontId="9" fillId="10" borderId="0" xfId="0" applyFont="1" applyFill="1" applyBorder="1"/>
    <xf numFmtId="0" fontId="0" fillId="0" borderId="18" xfId="0" applyBorder="1"/>
    <xf numFmtId="0" fontId="9" fillId="5" borderId="0" xfId="0" applyFont="1" applyFill="1" applyBorder="1"/>
    <xf numFmtId="167" fontId="0" fillId="0" borderId="1" xfId="0" applyNumberFormat="1" applyFill="1" applyBorder="1"/>
    <xf numFmtId="0" fontId="3" fillId="0" borderId="0" xfId="0" applyFont="1"/>
    <xf numFmtId="164" fontId="0" fillId="0" borderId="3" xfId="0" applyNumberFormat="1" applyBorder="1"/>
    <xf numFmtId="164" fontId="0" fillId="0" borderId="3" xfId="0" applyNumberFormat="1" applyFill="1" applyBorder="1" applyProtection="1"/>
    <xf numFmtId="1" fontId="0" fillId="3" borderId="18" xfId="0" applyNumberFormat="1" applyFill="1" applyBorder="1" applyProtection="1">
      <protection locked="0"/>
    </xf>
    <xf numFmtId="0" fontId="9" fillId="10" borderId="0" xfId="0" applyFont="1" applyFill="1" applyBorder="1" applyProtection="1">
      <protection locked="0"/>
    </xf>
    <xf numFmtId="1" fontId="9" fillId="10" borderId="0" xfId="0" applyNumberFormat="1" applyFont="1" applyFill="1" applyBorder="1" applyProtection="1">
      <protection locked="0"/>
    </xf>
    <xf numFmtId="164" fontId="9" fillId="10" borderId="0" xfId="0" applyNumberFormat="1" applyFont="1" applyFill="1" applyBorder="1" applyProtection="1"/>
    <xf numFmtId="0" fontId="9" fillId="10" borderId="0" xfId="0" applyFont="1" applyFill="1" applyBorder="1" applyProtection="1"/>
    <xf numFmtId="164" fontId="9" fillId="10" borderId="0" xfId="0" applyNumberFormat="1" applyFont="1" applyFill="1" applyBorder="1"/>
    <xf numFmtId="0" fontId="0" fillId="10" borderId="13" xfId="0" applyFill="1" applyBorder="1"/>
    <xf numFmtId="0" fontId="0" fillId="10" borderId="16" xfId="0" applyFill="1" applyBorder="1"/>
    <xf numFmtId="0" fontId="0" fillId="10" borderId="17" xfId="0" applyFill="1" applyBorder="1"/>
    <xf numFmtId="167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10" fillId="10" borderId="0" xfId="0" applyFont="1" applyFill="1" applyBorder="1"/>
    <xf numFmtId="1" fontId="10" fillId="10" borderId="0" xfId="0" applyNumberFormat="1" applyFont="1" applyFill="1" applyBorder="1"/>
    <xf numFmtId="164" fontId="10" fillId="10" borderId="0" xfId="0" applyNumberFormat="1" applyFont="1" applyFill="1" applyBorder="1"/>
    <xf numFmtId="0" fontId="10" fillId="5" borderId="0" xfId="0" applyFont="1" applyFill="1" applyBorder="1"/>
    <xf numFmtId="164" fontId="10" fillId="5" borderId="0" xfId="0" applyNumberFormat="1" applyFont="1" applyFill="1" applyBorder="1"/>
    <xf numFmtId="0" fontId="7" fillId="5" borderId="5" xfId="0" applyFont="1" applyFill="1" applyBorder="1" applyAlignment="1"/>
    <xf numFmtId="0" fontId="9" fillId="10" borderId="0" xfId="0" applyFont="1" applyFill="1" applyBorder="1" applyAlignment="1" applyProtection="1">
      <alignment horizontal="right"/>
      <protection locked="0"/>
    </xf>
    <xf numFmtId="0" fontId="9" fillId="10" borderId="0" xfId="0" applyFont="1" applyFill="1" applyBorder="1" applyAlignment="1"/>
    <xf numFmtId="0" fontId="2" fillId="3" borderId="6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175" fontId="0" fillId="3" borderId="6" xfId="0" applyNumberFormat="1" applyFill="1" applyBorder="1" applyAlignment="1" applyProtection="1">
      <protection locked="0"/>
    </xf>
    <xf numFmtId="175" fontId="0" fillId="0" borderId="3" xfId="0" applyNumberFormat="1" applyBorder="1" applyAlignment="1" applyProtection="1">
      <protection locked="0"/>
    </xf>
    <xf numFmtId="0" fontId="0" fillId="9" borderId="1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4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auto="1"/>
      </font>
      <fill>
        <patternFill patternType="solid">
          <bgColor theme="9" tint="0.399945066682943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  <fill>
        <patternFill>
          <bgColor indexed="22"/>
        </patternFill>
      </fill>
    </dxf>
    <dxf>
      <font>
        <b val="0"/>
        <i val="0"/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</xdr:colOff>
      <xdr:row>0</xdr:row>
      <xdr:rowOff>73818</xdr:rowOff>
    </xdr:from>
    <xdr:to>
      <xdr:col>2</xdr:col>
      <xdr:colOff>575690</xdr:colOff>
      <xdr:row>4</xdr:row>
      <xdr:rowOff>139350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8F74CC-E23A-4792-A11F-F718D027F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4" y="73818"/>
          <a:ext cx="2716434" cy="732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6:AJ53"/>
  <sheetViews>
    <sheetView tabSelected="1" zoomScale="80" zoomScaleNormal="80" zoomScaleSheetLayoutView="100" workbookViewId="0">
      <selection activeCell="J54" sqref="J54"/>
    </sheetView>
  </sheetViews>
  <sheetFormatPr defaultRowHeight="12.75" x14ac:dyDescent="0.2"/>
  <cols>
    <col min="1" max="1" width="1.7109375" customWidth="1"/>
    <col min="2" max="2" width="32.140625" bestFit="1" customWidth="1"/>
    <col min="3" max="8" width="8.7109375" customWidth="1"/>
    <col min="9" max="10" width="1.7109375" customWidth="1"/>
    <col min="11" max="11" width="18.7109375" customWidth="1"/>
    <col min="12" max="12" width="37.140625" customWidth="1"/>
    <col min="13" max="13" width="9.5703125" customWidth="1"/>
    <col min="14" max="14" width="0.140625" hidden="1" customWidth="1"/>
    <col min="15" max="16" width="10.5703125" hidden="1" customWidth="1"/>
    <col min="17" max="17" width="9.85546875" customWidth="1"/>
    <col min="18" max="18" width="0" hidden="1" customWidth="1"/>
    <col min="19" max="20" width="10.5703125" hidden="1" customWidth="1"/>
    <col min="21" max="21" width="9.85546875" customWidth="1"/>
    <col min="22" max="23" width="10.5703125" hidden="1" customWidth="1"/>
    <col min="24" max="24" width="0" hidden="1" customWidth="1"/>
    <col min="25" max="25" width="9.42578125" customWidth="1"/>
    <col min="26" max="26" width="10.5703125" hidden="1" customWidth="1"/>
    <col min="27" max="27" width="4.7109375" hidden="1" customWidth="1"/>
    <col min="28" max="28" width="10.5703125" hidden="1" customWidth="1"/>
    <col min="29" max="29" width="10.5703125" customWidth="1"/>
    <col min="30" max="30" width="0.28515625" customWidth="1"/>
    <col min="31" max="31" width="12.140625" customWidth="1"/>
    <col min="32" max="35" width="9.140625" customWidth="1"/>
  </cols>
  <sheetData>
    <row r="6" spans="1:36" ht="14.25" customHeight="1" thickBot="1" x14ac:dyDescent="0.25"/>
    <row r="7" spans="1:36" x14ac:dyDescent="0.2">
      <c r="A7" s="51"/>
      <c r="B7" s="52"/>
      <c r="C7" s="52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3"/>
      <c r="AD7" s="107"/>
    </row>
    <row r="8" spans="1:36" x14ac:dyDescent="0.2">
      <c r="A8" s="54"/>
      <c r="B8" s="1" t="s">
        <v>7</v>
      </c>
      <c r="C8" s="121"/>
      <c r="D8" s="122"/>
      <c r="E8" s="122"/>
      <c r="F8" s="122"/>
      <c r="G8" s="122"/>
      <c r="H8" s="123"/>
      <c r="I8" s="57"/>
      <c r="J8" s="5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108"/>
      <c r="AE8" s="82"/>
      <c r="AF8" s="82"/>
      <c r="AG8" s="82"/>
      <c r="AH8" s="82"/>
      <c r="AI8" s="82"/>
      <c r="AJ8" s="82"/>
    </row>
    <row r="9" spans="1:36" x14ac:dyDescent="0.2">
      <c r="A9" s="54"/>
      <c r="B9" s="2" t="s">
        <v>8</v>
      </c>
      <c r="C9" s="124"/>
      <c r="D9" s="122"/>
      <c r="E9" s="123"/>
      <c r="F9" s="3" t="s">
        <v>9</v>
      </c>
      <c r="G9" s="125">
        <v>43926</v>
      </c>
      <c r="H9" s="126"/>
      <c r="I9" s="57"/>
      <c r="J9" s="54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108"/>
      <c r="AE9" s="82"/>
      <c r="AF9" s="82"/>
      <c r="AG9" s="82"/>
      <c r="AH9" s="82"/>
      <c r="AI9" s="82"/>
      <c r="AJ9" s="82"/>
    </row>
    <row r="10" spans="1:36" x14ac:dyDescent="0.2">
      <c r="A10" s="54"/>
      <c r="B10" s="56"/>
      <c r="C10" s="56"/>
      <c r="D10" s="56"/>
      <c r="E10" s="56"/>
      <c r="F10" s="56"/>
      <c r="G10" s="56"/>
      <c r="H10" s="56"/>
      <c r="I10" s="57"/>
      <c r="J10" s="54"/>
      <c r="K10" s="56"/>
      <c r="L10" s="56"/>
      <c r="M10" s="118" t="str">
        <f>IF(B13=5400,"Select Fitted / NotFit to add / remove loop driver",IF(B13=5200,"Select Fitted / NotFit to add / remove loop driver",""))</f>
        <v>Select Fitted / NotFit to add / remove loop driver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73"/>
      <c r="AC10" s="57"/>
      <c r="AD10" s="108"/>
      <c r="AE10" s="82"/>
      <c r="AF10" s="82"/>
      <c r="AG10" s="82"/>
      <c r="AH10" s="82"/>
      <c r="AI10" s="82"/>
      <c r="AJ10" s="82"/>
    </row>
    <row r="11" spans="1:36" x14ac:dyDescent="0.2">
      <c r="A11" s="54"/>
      <c r="B11" s="56"/>
      <c r="C11" s="56"/>
      <c r="D11" s="56"/>
      <c r="E11" s="56"/>
      <c r="F11" s="56"/>
      <c r="G11" s="56"/>
      <c r="H11" s="56"/>
      <c r="I11" s="58"/>
      <c r="J11" s="54"/>
      <c r="K11" s="56"/>
      <c r="L11" s="56"/>
      <c r="M11" s="78" t="s">
        <v>54</v>
      </c>
      <c r="N11" s="76"/>
      <c r="O11" s="76"/>
      <c r="P11" s="76"/>
      <c r="Q11" s="78" t="s">
        <v>58</v>
      </c>
      <c r="R11" s="76"/>
      <c r="S11" s="76"/>
      <c r="T11" s="76"/>
      <c r="U11" s="78" t="s">
        <v>55</v>
      </c>
      <c r="V11" s="76"/>
      <c r="W11" s="76"/>
      <c r="X11" s="76"/>
      <c r="Y11" s="78" t="s">
        <v>56</v>
      </c>
      <c r="Z11" s="77"/>
      <c r="AA11" s="77"/>
      <c r="AB11" s="74"/>
      <c r="AC11" s="57"/>
      <c r="AD11" s="108"/>
      <c r="AE11" s="82"/>
      <c r="AF11" s="82"/>
      <c r="AG11" s="82"/>
      <c r="AH11" s="82"/>
      <c r="AI11" s="82"/>
      <c r="AJ11" s="82"/>
    </row>
    <row r="12" spans="1:36" x14ac:dyDescent="0.2">
      <c r="A12" s="54"/>
      <c r="B12" s="27" t="s">
        <v>68</v>
      </c>
      <c r="C12" s="3"/>
      <c r="D12" s="5" t="s">
        <v>5</v>
      </c>
      <c r="E12" s="1"/>
      <c r="F12" s="3"/>
      <c r="G12" s="5" t="s">
        <v>10</v>
      </c>
      <c r="H12" s="1"/>
      <c r="I12" s="58"/>
      <c r="J12" s="54"/>
      <c r="K12" s="3" t="s">
        <v>2</v>
      </c>
      <c r="L12" s="3" t="s">
        <v>3</v>
      </c>
      <c r="M12" s="81" t="s">
        <v>57</v>
      </c>
      <c r="N12" s="3" t="s">
        <v>28</v>
      </c>
      <c r="O12" s="3" t="s">
        <v>29</v>
      </c>
      <c r="P12" s="3" t="s">
        <v>52</v>
      </c>
      <c r="Q12" s="79" t="s">
        <v>57</v>
      </c>
      <c r="R12" s="3" t="s">
        <v>28</v>
      </c>
      <c r="S12" s="3" t="s">
        <v>29</v>
      </c>
      <c r="T12" s="3" t="s">
        <v>52</v>
      </c>
      <c r="U12" s="79" t="s">
        <v>57</v>
      </c>
      <c r="V12" s="3" t="s">
        <v>28</v>
      </c>
      <c r="W12" s="3" t="s">
        <v>29</v>
      </c>
      <c r="X12" s="3" t="s">
        <v>52</v>
      </c>
      <c r="Y12" s="79" t="s">
        <v>57</v>
      </c>
      <c r="Z12" s="3" t="s">
        <v>28</v>
      </c>
      <c r="AA12" s="3" t="s">
        <v>29</v>
      </c>
      <c r="AB12" s="3" t="s">
        <v>52</v>
      </c>
      <c r="AC12" s="57"/>
      <c r="AD12" s="108"/>
      <c r="AE12" s="82"/>
      <c r="AF12" s="82" t="s">
        <v>28</v>
      </c>
      <c r="AG12" s="82" t="s">
        <v>29</v>
      </c>
      <c r="AH12" s="82"/>
      <c r="AI12" s="82"/>
      <c r="AJ12" s="82"/>
    </row>
    <row r="13" spans="1:36" x14ac:dyDescent="0.2">
      <c r="A13" s="54"/>
      <c r="B13" s="87">
        <v>5400</v>
      </c>
      <c r="C13" s="5" t="s">
        <v>11</v>
      </c>
      <c r="D13" s="5" t="s">
        <v>12</v>
      </c>
      <c r="E13" s="5" t="s">
        <v>13</v>
      </c>
      <c r="F13" s="5" t="s">
        <v>11</v>
      </c>
      <c r="G13" s="5" t="s">
        <v>12</v>
      </c>
      <c r="H13" s="5" t="s">
        <v>13</v>
      </c>
      <c r="I13" s="57"/>
      <c r="J13" s="54"/>
      <c r="K13" s="111" t="s">
        <v>64</v>
      </c>
      <c r="L13" s="3" t="str">
        <f>VLOOKUP(K13,Data!A:D,2,FALSE)</f>
        <v>Axis Wall Sounder &amp; Intelligent Module</v>
      </c>
      <c r="M13" s="41">
        <v>0</v>
      </c>
      <c r="N13" s="17">
        <f>SUM(M13*VLOOKUP($K13,Data!$A:$D,3,TRUE))</f>
        <v>0</v>
      </c>
      <c r="O13" s="17">
        <f>SUM(M13*VLOOKUP($K13,Data!$A:$D,4,TRUE))</f>
        <v>0</v>
      </c>
      <c r="P13" s="17">
        <f>SUM(M13*VLOOKUP($K13,Data!$A:$E,5,TRUE))</f>
        <v>0</v>
      </c>
      <c r="Q13" s="41">
        <v>0</v>
      </c>
      <c r="R13" s="17">
        <f>SUM(Q13*VLOOKUP($K13,Data!$A:$D,3,TRUE))</f>
        <v>0</v>
      </c>
      <c r="S13" s="17">
        <f>SUM(Q13*VLOOKUP($K13,Data!$A:$D,4,TRUE))</f>
        <v>0</v>
      </c>
      <c r="T13" s="17">
        <f>SUM(Q13*VLOOKUP($K13,Data!$A:$E,5,TRUE))</f>
        <v>0</v>
      </c>
      <c r="U13" s="41">
        <v>35</v>
      </c>
      <c r="V13" s="17">
        <f>SUM(U13*VLOOKUP($K13,Data!$A:$D,3,TRUE))</f>
        <v>3.15E-3</v>
      </c>
      <c r="W13" s="17">
        <f>SUM(U13*VLOOKUP($K13,Data!$A:$D,4,TRUE))</f>
        <v>0.28000000000000003</v>
      </c>
      <c r="X13" s="17">
        <f>SUM(U13*VLOOKUP($K13,Data!$A:$E,5,TRUE))</f>
        <v>35</v>
      </c>
      <c r="Y13" s="41">
        <v>35</v>
      </c>
      <c r="Z13" s="45">
        <f>SUM(Y13*VLOOKUP($K13,Data!$A:$D,3,TRUE))</f>
        <v>3.15E-3</v>
      </c>
      <c r="AA13" s="45">
        <f>SUM(Y13*VLOOKUP($K13,Data!$A:$D,4,TRUE))</f>
        <v>0.28000000000000003</v>
      </c>
      <c r="AB13" s="17">
        <f>SUM(Y13*VLOOKUP($K13,Data!$A:$E,5,TRUE))</f>
        <v>35</v>
      </c>
      <c r="AC13" s="57"/>
      <c r="AD13" s="108"/>
      <c r="AE13" s="82" t="s">
        <v>32</v>
      </c>
      <c r="AF13" s="82">
        <v>7.1999999999999995E-2</v>
      </c>
      <c r="AG13" s="82">
        <v>0.125</v>
      </c>
      <c r="AH13" s="82"/>
      <c r="AI13" s="82">
        <v>4</v>
      </c>
      <c r="AJ13" s="82"/>
    </row>
    <row r="14" spans="1:36" x14ac:dyDescent="0.2">
      <c r="A14" s="54"/>
      <c r="B14" s="6" t="s">
        <v>27</v>
      </c>
      <c r="C14" s="33">
        <f>IF($C41="on",$AF15,IF($C41="dim",$AF14,IF($C41="off",$AF13,10)))</f>
        <v>7.1999999999999995E-2</v>
      </c>
      <c r="D14" s="29">
        <v>1</v>
      </c>
      <c r="E14" s="33">
        <f>C14*D14</f>
        <v>7.1999999999999995E-2</v>
      </c>
      <c r="F14" s="33">
        <f>IF($C41="on",$AG15,IF($C41="dim",$AG14,IF($C41="off",$AG13,10)))</f>
        <v>0.125</v>
      </c>
      <c r="G14" s="32">
        <v>1</v>
      </c>
      <c r="H14" s="36">
        <f>F14*G14</f>
        <v>0.125</v>
      </c>
      <c r="I14" s="57"/>
      <c r="J14" s="54"/>
      <c r="K14" s="111" t="s">
        <v>65</v>
      </c>
      <c r="L14" s="3" t="str">
        <f>VLOOKUP(K14,Data!A:D,2,FALSE)</f>
        <v>Axis Wall Sounder VAD &amp; Intelligent Module</v>
      </c>
      <c r="M14" s="41">
        <v>0</v>
      </c>
      <c r="N14" s="17">
        <f>SUM(M14*VLOOKUP($K14,Data!$A:$D,3,TRUE))</f>
        <v>0</v>
      </c>
      <c r="O14" s="17">
        <f>SUM(M14*VLOOKUP($K14,Data!$A:$D,4,TRUE))</f>
        <v>0</v>
      </c>
      <c r="P14" s="17">
        <f>SUM(M14*VLOOKUP($K14,Data!$A:$E,5,TRUE))</f>
        <v>0</v>
      </c>
      <c r="Q14" s="41">
        <v>0</v>
      </c>
      <c r="R14" s="17">
        <f>SUM(Q14*VLOOKUP($K14,Data!$A:$D,3,TRUE))</f>
        <v>0</v>
      </c>
      <c r="S14" s="17">
        <f>SUM(Q14*VLOOKUP($K14,Data!$A:$D,4,TRUE))</f>
        <v>0</v>
      </c>
      <c r="T14" s="17">
        <f>SUM(Q14*VLOOKUP($K14,Data!$A:$E,5,TRUE))</f>
        <v>0</v>
      </c>
      <c r="U14" s="41">
        <v>0</v>
      </c>
      <c r="V14" s="17">
        <f>SUM(U14*VLOOKUP($K14,Data!$A:$D,3,TRUE))</f>
        <v>0</v>
      </c>
      <c r="W14" s="17">
        <f>SUM(U14*VLOOKUP($K14,Data!$A:$D,4,TRUE))</f>
        <v>0</v>
      </c>
      <c r="X14" s="17">
        <f>SUM(U14*VLOOKUP($K14,Data!$A:$E,5,TRUE))</f>
        <v>0</v>
      </c>
      <c r="Y14" s="41">
        <v>0</v>
      </c>
      <c r="Z14" s="45">
        <f>SUM(Y14*VLOOKUP($K14,Data!$A:$D,3,TRUE))</f>
        <v>0</v>
      </c>
      <c r="AA14" s="45">
        <f>SUM(Y14*VLOOKUP($K14,Data!$A:$D,4,TRUE))</f>
        <v>0</v>
      </c>
      <c r="AB14" s="17">
        <f>SUM(Y14*VLOOKUP($K14,Data!$A:$E,5,TRUE))</f>
        <v>0</v>
      </c>
      <c r="AC14" s="57"/>
      <c r="AD14" s="108"/>
      <c r="AE14" s="82" t="s">
        <v>33</v>
      </c>
      <c r="AF14" s="82">
        <v>8.2000000000000003E-2</v>
      </c>
      <c r="AG14" s="82">
        <v>0.125</v>
      </c>
      <c r="AH14" s="82"/>
      <c r="AI14" s="82">
        <v>24</v>
      </c>
      <c r="AJ14" s="82"/>
    </row>
    <row r="15" spans="1:36" x14ac:dyDescent="0.2">
      <c r="A15" s="54"/>
      <c r="B15" s="6" t="s">
        <v>14</v>
      </c>
      <c r="C15" s="34">
        <f>M44</f>
        <v>0.06</v>
      </c>
      <c r="D15" s="29">
        <v>1.25</v>
      </c>
      <c r="E15" s="33">
        <f t="shared" ref="E15:E29" si="0">C15*D15</f>
        <v>7.4999999999999997E-2</v>
      </c>
      <c r="F15" s="34">
        <f>M45</f>
        <v>0.06</v>
      </c>
      <c r="G15" s="32">
        <v>1.25</v>
      </c>
      <c r="H15" s="36">
        <f>F15*G15</f>
        <v>7.4999999999999997E-2</v>
      </c>
      <c r="I15" s="59"/>
      <c r="J15" s="54"/>
      <c r="K15" s="111" t="s">
        <v>69</v>
      </c>
      <c r="L15" s="3" t="str">
        <f>VLOOKUP(K15,Data!A:D,2,FALSE)</f>
        <v>Isolator Module</v>
      </c>
      <c r="M15" s="41">
        <v>0</v>
      </c>
      <c r="N15" s="17">
        <f>SUM(M15*VLOOKUP($K15,Data!$A:$D,3,TRUE))</f>
        <v>0</v>
      </c>
      <c r="O15" s="17">
        <f>SUM(M15*VLOOKUP($K15,Data!$A:$D,4,TRUE))</f>
        <v>0</v>
      </c>
      <c r="P15" s="17">
        <f>SUM(M15*VLOOKUP($K15,Data!$A:$E,5,TRUE))</f>
        <v>0</v>
      </c>
      <c r="Q15" s="41">
        <v>0</v>
      </c>
      <c r="R15" s="17">
        <f>SUM(Q15*VLOOKUP($K15,Data!$A:$D,3,TRUE))</f>
        <v>0</v>
      </c>
      <c r="S15" s="17">
        <f>SUM(Q15*VLOOKUP($K15,Data!$A:$D,4,TRUE))</f>
        <v>0</v>
      </c>
      <c r="T15" s="17">
        <f>SUM(Q15*VLOOKUP($K15,Data!$A:$E,5,TRUE))</f>
        <v>0</v>
      </c>
      <c r="U15" s="41">
        <v>82</v>
      </c>
      <c r="V15" s="17">
        <f>SUM(U15*VLOOKUP($K15,Data!$A:$D,3,TRUE))</f>
        <v>7.3800000000000003E-3</v>
      </c>
      <c r="W15" s="17">
        <f>SUM(U15*VLOOKUP($K15,Data!$A:$D,4,TRUE))</f>
        <v>7.3800000000000003E-3</v>
      </c>
      <c r="X15" s="17">
        <f>SUM(U15*VLOOKUP($K15,Data!$A:$E,5,TRUE))</f>
        <v>0</v>
      </c>
      <c r="Y15" s="41">
        <v>82</v>
      </c>
      <c r="Z15" s="45">
        <f>SUM(Y15*VLOOKUP($K15,Data!$A:$D,3,TRUE))</f>
        <v>7.3800000000000003E-3</v>
      </c>
      <c r="AA15" s="45">
        <f>SUM(Y15*VLOOKUP($K15,Data!$A:$D,4,TRUE))</f>
        <v>7.3800000000000003E-3</v>
      </c>
      <c r="AB15" s="17">
        <f>SUM(Y15*VLOOKUP($K15,Data!$A:$E,5,TRUE))</f>
        <v>0</v>
      </c>
      <c r="AC15" s="57"/>
      <c r="AD15" s="108"/>
      <c r="AE15" s="82" t="s">
        <v>34</v>
      </c>
      <c r="AF15" s="82">
        <v>0.10199999999999999</v>
      </c>
      <c r="AG15" s="82">
        <v>0.125</v>
      </c>
      <c r="AH15" s="82"/>
      <c r="AI15" s="82">
        <v>48</v>
      </c>
      <c r="AJ15" s="82"/>
    </row>
    <row r="16" spans="1:36" x14ac:dyDescent="0.2">
      <c r="A16" s="54"/>
      <c r="B16" s="6" t="s">
        <v>15</v>
      </c>
      <c r="C16" s="33">
        <v>4.2000000000000003E-2</v>
      </c>
      <c r="D16" s="88">
        <v>1</v>
      </c>
      <c r="E16" s="33">
        <f t="shared" si="0"/>
        <v>4.2000000000000003E-2</v>
      </c>
      <c r="F16" s="33">
        <v>4.2000000000000003E-2</v>
      </c>
      <c r="G16" s="19">
        <v>1</v>
      </c>
      <c r="H16" s="36">
        <f>F16*G16</f>
        <v>4.2000000000000003E-2</v>
      </c>
      <c r="I16" s="60"/>
      <c r="J16" s="54"/>
      <c r="K16" s="111" t="s">
        <v>70</v>
      </c>
      <c r="L16" s="3" t="str">
        <f>VLOOKUP(K16,Data!A:D,2,FALSE)</f>
        <v>Relay Output Module</v>
      </c>
      <c r="M16" s="41">
        <v>0</v>
      </c>
      <c r="N16" s="17">
        <f>SUM(M16*VLOOKUP($K16,Data!$A:$D,3,TRUE))</f>
        <v>0</v>
      </c>
      <c r="O16" s="17">
        <f>SUM(M16*VLOOKUP($K16,Data!$A:$D,4,TRUE))</f>
        <v>0</v>
      </c>
      <c r="P16" s="17">
        <f>SUM(M16*VLOOKUP($K16,Data!$A:$E,5,TRUE))</f>
        <v>0</v>
      </c>
      <c r="Q16" s="41">
        <v>0</v>
      </c>
      <c r="R16" s="17">
        <f>SUM(Q16*VLOOKUP($K16,Data!$A:$D,3,TRUE))</f>
        <v>0</v>
      </c>
      <c r="S16" s="17">
        <f>SUM(Q16*VLOOKUP($K16,Data!$A:$D,4,TRUE))</f>
        <v>0</v>
      </c>
      <c r="T16" s="17">
        <f>SUM(Q16*VLOOKUP($K16,Data!$A:$E,5,TRUE))</f>
        <v>0</v>
      </c>
      <c r="U16" s="41">
        <v>0</v>
      </c>
      <c r="V16" s="17">
        <f>SUM(U16*VLOOKUP($K16,Data!$A:$D,3,TRUE))</f>
        <v>0</v>
      </c>
      <c r="W16" s="17">
        <f>SUM(U16*VLOOKUP($K16,Data!$A:$D,4,TRUE))</f>
        <v>0</v>
      </c>
      <c r="X16" s="17">
        <f>SUM(U16*VLOOKUP($K16,Data!$A:$E,5,TRUE))</f>
        <v>0</v>
      </c>
      <c r="Y16" s="41">
        <v>0</v>
      </c>
      <c r="Z16" s="45">
        <f>SUM(Y16*VLOOKUP($K16,Data!$A:$D,3,TRUE))</f>
        <v>0</v>
      </c>
      <c r="AA16" s="45">
        <f>SUM(Y16*VLOOKUP($K16,Data!$A:$D,4,TRUE))</f>
        <v>0</v>
      </c>
      <c r="AB16" s="17">
        <f>SUM(Y16*VLOOKUP($K16,Data!$A:$E,5,TRUE))</f>
        <v>0</v>
      </c>
      <c r="AC16" s="57"/>
      <c r="AD16" s="108"/>
      <c r="AE16" s="82" t="s">
        <v>74</v>
      </c>
      <c r="AF16" s="82"/>
      <c r="AG16" s="82"/>
      <c r="AH16" s="82"/>
      <c r="AI16" s="82">
        <v>72</v>
      </c>
      <c r="AJ16" s="82"/>
    </row>
    <row r="17" spans="1:36" x14ac:dyDescent="0.2">
      <c r="A17" s="54"/>
      <c r="B17" s="6" t="s">
        <v>14</v>
      </c>
      <c r="C17" s="34">
        <f>Q44</f>
        <v>0</v>
      </c>
      <c r="D17" s="19">
        <f>IF(B13=5100,0,IF(Q12="Fitted",1.25,0))</f>
        <v>1.25</v>
      </c>
      <c r="E17" s="33">
        <f t="shared" si="0"/>
        <v>0</v>
      </c>
      <c r="F17" s="34">
        <f>Q45</f>
        <v>0</v>
      </c>
      <c r="G17" s="7">
        <v>1.25</v>
      </c>
      <c r="H17" s="36">
        <f>IF(D18=0,0,F17*G17)</f>
        <v>0</v>
      </c>
      <c r="I17" s="61"/>
      <c r="J17" s="54"/>
      <c r="K17" s="111" t="s">
        <v>71</v>
      </c>
      <c r="L17" s="3" t="str">
        <f>VLOOKUP(K17,Data!A:D,2,FALSE)</f>
        <v>Wireless Translator Module</v>
      </c>
      <c r="M17" s="41">
        <v>3</v>
      </c>
      <c r="N17" s="17">
        <f>SUM(M17*VLOOKUP($K17,Data!$A:$D,3,TRUE))</f>
        <v>0.06</v>
      </c>
      <c r="O17" s="17">
        <f>SUM(M17*VLOOKUP($K17,Data!$A:$D,4,TRUE))</f>
        <v>0.06</v>
      </c>
      <c r="P17" s="17">
        <f>SUM(M17*VLOOKUP($K17,Data!$A:$E,5,TRUE))</f>
        <v>3</v>
      </c>
      <c r="Q17" s="41">
        <v>0</v>
      </c>
      <c r="R17" s="17">
        <f>SUM(Q17*VLOOKUP($K17,Data!$A:$D,3,TRUE))</f>
        <v>0</v>
      </c>
      <c r="S17" s="17">
        <f>SUM(Q17*VLOOKUP($K17,Data!$A:$D,4,TRUE))</f>
        <v>0</v>
      </c>
      <c r="T17" s="17">
        <f>SUM(Q17*VLOOKUP($K17,Data!$A:$E,5,TRUE))</f>
        <v>0</v>
      </c>
      <c r="U17" s="41">
        <v>0</v>
      </c>
      <c r="V17" s="17">
        <f>SUM(U17*VLOOKUP($K17,Data!$A:$D,3,TRUE))</f>
        <v>0</v>
      </c>
      <c r="W17" s="17">
        <f>SUM(U17*VLOOKUP($K17,Data!$A:$D,4,TRUE))</f>
        <v>0</v>
      </c>
      <c r="X17" s="17">
        <f>SUM(U17*VLOOKUP($K17,Data!$A:$E,5,TRUE))</f>
        <v>0</v>
      </c>
      <c r="Y17" s="41">
        <v>0</v>
      </c>
      <c r="Z17" s="45">
        <f>SUM(Y17*VLOOKUP($K17,Data!$A:$D,3,TRUE))</f>
        <v>0</v>
      </c>
      <c r="AA17" s="45">
        <f>SUM(Y17*VLOOKUP($K17,Data!$A:$D,4,TRUE))</f>
        <v>0</v>
      </c>
      <c r="AB17" s="17">
        <f>SUM(Y17*VLOOKUP($K17,Data!$A:$E,5,TRUE))</f>
        <v>0</v>
      </c>
      <c r="AC17" s="57"/>
      <c r="AD17" s="108"/>
      <c r="AE17" s="82" t="s">
        <v>36</v>
      </c>
      <c r="AF17" s="82">
        <v>0.02</v>
      </c>
      <c r="AG17" s="82">
        <v>0.02</v>
      </c>
      <c r="AH17" s="82"/>
      <c r="AI17" s="82"/>
      <c r="AJ17" s="82"/>
    </row>
    <row r="18" spans="1:36" x14ac:dyDescent="0.2">
      <c r="A18" s="54"/>
      <c r="B18" s="6" t="s">
        <v>16</v>
      </c>
      <c r="C18" s="33">
        <v>4.2000000000000003E-2</v>
      </c>
      <c r="D18" s="88">
        <f>IF(B13=5100,0,IF(Q12="Fitted",1,0))</f>
        <v>1</v>
      </c>
      <c r="E18" s="33">
        <f t="shared" si="0"/>
        <v>4.2000000000000003E-2</v>
      </c>
      <c r="F18" s="33">
        <v>4.2000000000000003E-2</v>
      </c>
      <c r="G18" s="19">
        <f>IF(B13=5100,0,IF(Q12="Fitted",1,0))</f>
        <v>1</v>
      </c>
      <c r="H18" s="36">
        <f>F18*G18</f>
        <v>4.2000000000000003E-2</v>
      </c>
      <c r="I18" s="61"/>
      <c r="J18" s="54"/>
      <c r="K18" s="111" t="s">
        <v>1</v>
      </c>
      <c r="L18" s="3" t="str">
        <f>VLOOKUP(K18,Data!A:D,2,FALSE)</f>
        <v>No Device Selected</v>
      </c>
      <c r="M18" s="41"/>
      <c r="N18" s="17">
        <f>SUM(M18*VLOOKUP($K18,Data!$A:$D,3,TRUE))</f>
        <v>0</v>
      </c>
      <c r="O18" s="17">
        <f>SUM(M18*VLOOKUP($K18,Data!$A:$D,4,TRUE))</f>
        <v>0</v>
      </c>
      <c r="P18" s="17">
        <f>SUM(M18*VLOOKUP($K18,Data!$A:$E,5,TRUE))</f>
        <v>0</v>
      </c>
      <c r="Q18" s="41"/>
      <c r="R18" s="17">
        <f>SUM(Q18*VLOOKUP($K18,Data!$A:$D,3,TRUE))</f>
        <v>0</v>
      </c>
      <c r="S18" s="17">
        <f>SUM(Q18*VLOOKUP($K18,Data!$A:$D,4,TRUE))</f>
        <v>0</v>
      </c>
      <c r="T18" s="17">
        <f>SUM(Q18*VLOOKUP($K18,Data!$A:$E,5,TRUE))</f>
        <v>0</v>
      </c>
      <c r="U18" s="41"/>
      <c r="V18" s="17">
        <f>SUM(U18*VLOOKUP($K18,Data!$A:$D,3,TRUE))</f>
        <v>0</v>
      </c>
      <c r="W18" s="17">
        <f>SUM(U18*VLOOKUP($K18,Data!$A:$D,4,TRUE))</f>
        <v>0</v>
      </c>
      <c r="X18" s="17">
        <f>SUM(U18*VLOOKUP($K18,Data!$A:$E,5,TRUE))</f>
        <v>0</v>
      </c>
      <c r="Y18" s="41"/>
      <c r="Z18" s="45">
        <f>SUM(Y18*VLOOKUP($K18,Data!$A:$D,3,TRUE))</f>
        <v>0</v>
      </c>
      <c r="AA18" s="45">
        <f>SUM(Y18*VLOOKUP($K18,Data!$A:$D,4,TRUE))</f>
        <v>0</v>
      </c>
      <c r="AB18" s="17">
        <f>SUM(Y18*VLOOKUP($K18,Data!$A:$E,5,TRUE))</f>
        <v>0</v>
      </c>
      <c r="AC18" s="57"/>
      <c r="AD18" s="108"/>
      <c r="AE18" s="82" t="s">
        <v>35</v>
      </c>
      <c r="AF18" s="82">
        <v>6.0999999999999999E-2</v>
      </c>
      <c r="AG18" s="82">
        <v>6.0999999999999999E-2</v>
      </c>
      <c r="AH18" s="82"/>
      <c r="AI18" s="82"/>
      <c r="AJ18" s="82"/>
    </row>
    <row r="19" spans="1:36" x14ac:dyDescent="0.2">
      <c r="A19" s="54"/>
      <c r="B19" s="6" t="s">
        <v>14</v>
      </c>
      <c r="C19" s="34">
        <f>U44</f>
        <v>1.0530000000000001E-2</v>
      </c>
      <c r="D19" s="19">
        <f>IF(B13&lt;&gt;5400,0,IF(U12="Fitted",1.25,0))</f>
        <v>1.25</v>
      </c>
      <c r="E19" s="33">
        <f t="shared" si="0"/>
        <v>1.3162500000000001E-2</v>
      </c>
      <c r="F19" s="34">
        <f>U45</f>
        <v>0.28738000000000002</v>
      </c>
      <c r="G19" s="7">
        <v>1.25</v>
      </c>
      <c r="H19" s="36">
        <f>IF(D20=0,0,F19*G19)</f>
        <v>0.35922500000000002</v>
      </c>
      <c r="I19" s="61"/>
      <c r="J19" s="54"/>
      <c r="K19" s="112" t="s">
        <v>1</v>
      </c>
      <c r="L19" s="95" t="str">
        <f>VLOOKUP(K19,Data!A:D,2,FALSE)</f>
        <v>No Device Selected</v>
      </c>
      <c r="M19" s="101"/>
      <c r="N19" s="17">
        <f>SUM(M19*VLOOKUP($K19,Data!$A:$D,3,TRUE))</f>
        <v>0</v>
      </c>
      <c r="O19" s="17">
        <f>SUM(M19*VLOOKUP($K19,Data!$A:$D,4,TRUE))</f>
        <v>0</v>
      </c>
      <c r="P19" s="17">
        <f>SUM(M19*VLOOKUP($K19,Data!$A:$E,5,TRUE))</f>
        <v>0</v>
      </c>
      <c r="Q19" s="101"/>
      <c r="R19" s="17">
        <f>SUM(Q19*VLOOKUP($K19,Data!$A:$D,3,TRUE))</f>
        <v>0</v>
      </c>
      <c r="S19" s="17">
        <f>SUM(Q19*VLOOKUP($K19,Data!$A:$D,4,TRUE))</f>
        <v>0</v>
      </c>
      <c r="T19" s="17">
        <f>SUM(Q19*VLOOKUP($K19,Data!$A:$E,5,TRUE))</f>
        <v>0</v>
      </c>
      <c r="U19" s="101"/>
      <c r="V19" s="17">
        <f>SUM(U19*VLOOKUP($K19,Data!$A:$D,3,TRUE))</f>
        <v>0</v>
      </c>
      <c r="W19" s="17">
        <f>SUM(U19*VLOOKUP($K19,Data!$A:$D,4,TRUE))</f>
        <v>0</v>
      </c>
      <c r="X19" s="17">
        <f>SUM(U19*VLOOKUP($K19,Data!$A:$E,5,TRUE))</f>
        <v>0</v>
      </c>
      <c r="Y19" s="101"/>
      <c r="Z19" s="45">
        <f>SUM(Y19*VLOOKUP($K19,Data!$A:$D,3,TRUE))</f>
        <v>0</v>
      </c>
      <c r="AA19" s="45">
        <f>SUM(Y19*VLOOKUP($K19,Data!$A:$D,4,TRUE))</f>
        <v>0</v>
      </c>
      <c r="AB19" s="17">
        <f>SUM(Y19*VLOOKUP($K19,Data!$A:$E,5,TRUE))</f>
        <v>0</v>
      </c>
      <c r="AC19" s="57"/>
      <c r="AD19" s="108"/>
      <c r="AE19" s="82" t="s">
        <v>1</v>
      </c>
      <c r="AF19" s="82">
        <v>0</v>
      </c>
      <c r="AG19" s="82">
        <v>0</v>
      </c>
      <c r="AH19" s="82"/>
      <c r="AI19" s="83">
        <v>5100</v>
      </c>
      <c r="AJ19" s="82"/>
    </row>
    <row r="20" spans="1:36" x14ac:dyDescent="0.2">
      <c r="A20" s="54"/>
      <c r="B20" s="6" t="s">
        <v>17</v>
      </c>
      <c r="C20" s="33">
        <v>4.2000000000000003E-2</v>
      </c>
      <c r="D20" s="88">
        <f>IF(B13&lt;&gt;5400,0,IF(U12="Fitted",1,0))</f>
        <v>1</v>
      </c>
      <c r="E20" s="33">
        <f t="shared" si="0"/>
        <v>4.2000000000000003E-2</v>
      </c>
      <c r="F20" s="33">
        <v>4.2000000000000003E-2</v>
      </c>
      <c r="G20" s="7">
        <f>IF(B13&lt;&gt;5400,0,IF(U12="Fitted",1,0))</f>
        <v>1</v>
      </c>
      <c r="H20" s="36">
        <f>F20*G20</f>
        <v>4.2000000000000003E-2</v>
      </c>
      <c r="I20" s="61"/>
      <c r="J20" s="54"/>
      <c r="K20" s="102"/>
      <c r="L20" s="94"/>
      <c r="M20" s="103"/>
      <c r="N20" s="104"/>
      <c r="O20" s="104"/>
      <c r="P20" s="104"/>
      <c r="Q20" s="103"/>
      <c r="R20" s="104"/>
      <c r="S20" s="104"/>
      <c r="T20" s="104"/>
      <c r="U20" s="103"/>
      <c r="V20" s="104"/>
      <c r="W20" s="104"/>
      <c r="X20" s="104"/>
      <c r="Y20" s="103"/>
      <c r="Z20" s="99"/>
      <c r="AA20" s="45"/>
      <c r="AB20" s="17"/>
      <c r="AC20" s="57"/>
      <c r="AD20" s="108"/>
      <c r="AE20" s="82"/>
      <c r="AF20" s="82"/>
      <c r="AG20" s="82"/>
      <c r="AH20" s="82"/>
      <c r="AI20" s="83">
        <v>5200</v>
      </c>
      <c r="AJ20" s="82"/>
    </row>
    <row r="21" spans="1:36" x14ac:dyDescent="0.2">
      <c r="A21" s="54"/>
      <c r="B21" s="6" t="s">
        <v>14</v>
      </c>
      <c r="C21" s="35">
        <f>U44</f>
        <v>1.0530000000000001E-2</v>
      </c>
      <c r="D21" s="19">
        <f>IF(B13&lt;&gt;5400,0,IF(U12="Fitted",1.25,0))</f>
        <v>1.25</v>
      </c>
      <c r="E21" s="33">
        <f t="shared" si="0"/>
        <v>1.3162500000000001E-2</v>
      </c>
      <c r="F21" s="33">
        <f>Y45</f>
        <v>0.28738000000000002</v>
      </c>
      <c r="G21" s="7">
        <v>1.25</v>
      </c>
      <c r="H21" s="36">
        <f>IF(D22=0,0,F21*G21)</f>
        <v>0.35922500000000002</v>
      </c>
      <c r="I21" s="61"/>
      <c r="J21" s="54"/>
      <c r="K21" s="102"/>
      <c r="L21" s="94"/>
      <c r="M21" s="103"/>
      <c r="N21" s="104"/>
      <c r="O21" s="104"/>
      <c r="P21" s="104"/>
      <c r="Q21" s="103"/>
      <c r="R21" s="104"/>
      <c r="S21" s="104"/>
      <c r="T21" s="104"/>
      <c r="U21" s="103"/>
      <c r="V21" s="104"/>
      <c r="W21" s="104"/>
      <c r="X21" s="104"/>
      <c r="Y21" s="103"/>
      <c r="Z21" s="99"/>
      <c r="AA21" s="45"/>
      <c r="AB21" s="17"/>
      <c r="AC21" s="57"/>
      <c r="AD21" s="108"/>
      <c r="AE21" s="82" t="s">
        <v>37</v>
      </c>
      <c r="AF21" s="82">
        <v>0</v>
      </c>
      <c r="AG21" s="82">
        <v>0.03</v>
      </c>
      <c r="AH21" s="82"/>
      <c r="AI21" s="83">
        <v>5400</v>
      </c>
      <c r="AJ21" s="82"/>
    </row>
    <row r="22" spans="1:36" x14ac:dyDescent="0.2">
      <c r="A22" s="54"/>
      <c r="B22" s="6" t="s">
        <v>18</v>
      </c>
      <c r="C22" s="33">
        <v>4.2000000000000003E-2</v>
      </c>
      <c r="D22" s="88">
        <f>IF(B13&lt;&gt;5400,0,IF(Y12="Fitted",1,0))</f>
        <v>1</v>
      </c>
      <c r="E22" s="33">
        <f t="shared" si="0"/>
        <v>4.2000000000000003E-2</v>
      </c>
      <c r="F22" s="33">
        <v>4.2000000000000003E-2</v>
      </c>
      <c r="G22" s="7">
        <f>IF(B13&lt;&gt;5400,0,IF(Y12="Fitted",1,0))</f>
        <v>1</v>
      </c>
      <c r="H22" s="36">
        <f>F22*G22</f>
        <v>4.2000000000000003E-2</v>
      </c>
      <c r="I22" s="61"/>
      <c r="J22" s="54"/>
      <c r="K22" s="102"/>
      <c r="L22" s="94"/>
      <c r="M22" s="103"/>
      <c r="N22" s="104"/>
      <c r="O22" s="104"/>
      <c r="P22" s="104"/>
      <c r="Q22" s="103"/>
      <c r="R22" s="104"/>
      <c r="S22" s="104"/>
      <c r="T22" s="104"/>
      <c r="U22" s="103"/>
      <c r="V22" s="104"/>
      <c r="W22" s="104"/>
      <c r="X22" s="104"/>
      <c r="Y22" s="103"/>
      <c r="Z22" s="99"/>
      <c r="AA22" s="45"/>
      <c r="AB22" s="17"/>
      <c r="AC22" s="57"/>
      <c r="AD22" s="108"/>
      <c r="AE22" s="82" t="s">
        <v>38</v>
      </c>
      <c r="AF22" s="82">
        <v>3.1E-2</v>
      </c>
      <c r="AG22" s="82">
        <v>4.2999999999999997E-2</v>
      </c>
      <c r="AH22" s="82"/>
      <c r="AI22" s="82"/>
      <c r="AJ22" s="82"/>
    </row>
    <row r="23" spans="1:36" x14ac:dyDescent="0.2">
      <c r="A23" s="54"/>
      <c r="B23" s="6" t="str">
        <f>IF($C42="MXP-509","MXP-509 Fault-Tolerant Network",IF($C42="MXP-503","MXP-503 Standard Network","NO NETWORK Card"))</f>
        <v>NO NETWORK Card</v>
      </c>
      <c r="C23" s="35">
        <f>Y44</f>
        <v>1.0530000000000001E-2</v>
      </c>
      <c r="D23" s="19">
        <v>1</v>
      </c>
      <c r="E23" s="33">
        <f t="shared" si="0"/>
        <v>1.0530000000000001E-2</v>
      </c>
      <c r="F23" s="33">
        <f>Y45</f>
        <v>0.28738000000000002</v>
      </c>
      <c r="G23" s="7">
        <f>D23</f>
        <v>1</v>
      </c>
      <c r="H23" s="36">
        <f>F23*G23</f>
        <v>0.28738000000000002</v>
      </c>
      <c r="I23" s="61"/>
      <c r="J23" s="54"/>
      <c r="K23" s="102"/>
      <c r="L23" s="94"/>
      <c r="M23" s="103"/>
      <c r="N23" s="104"/>
      <c r="O23" s="104"/>
      <c r="P23" s="104"/>
      <c r="Q23" s="103"/>
      <c r="R23" s="104"/>
      <c r="S23" s="104"/>
      <c r="T23" s="104"/>
      <c r="U23" s="103"/>
      <c r="V23" s="104"/>
      <c r="W23" s="104"/>
      <c r="X23" s="104"/>
      <c r="Y23" s="103"/>
      <c r="Z23" s="99"/>
      <c r="AA23" s="45"/>
      <c r="AB23" s="17"/>
      <c r="AC23" s="57"/>
      <c r="AD23" s="108"/>
      <c r="AE23" s="82" t="s">
        <v>1</v>
      </c>
      <c r="AF23" s="82">
        <v>0</v>
      </c>
      <c r="AG23" s="82">
        <v>0</v>
      </c>
      <c r="AH23" s="82"/>
      <c r="AI23" s="82"/>
      <c r="AJ23" s="82"/>
    </row>
    <row r="24" spans="1:36" x14ac:dyDescent="0.2">
      <c r="A24" s="54"/>
      <c r="B24" s="6"/>
      <c r="C24" s="33"/>
      <c r="D24" s="19"/>
      <c r="E24" s="33"/>
      <c r="F24" s="33"/>
      <c r="G24" s="7"/>
      <c r="H24" s="36"/>
      <c r="I24" s="61"/>
      <c r="J24" s="54"/>
      <c r="K24" s="102"/>
      <c r="L24" s="94"/>
      <c r="M24" s="103"/>
      <c r="N24" s="104"/>
      <c r="O24" s="104"/>
      <c r="P24" s="104"/>
      <c r="Q24" s="103"/>
      <c r="R24" s="104"/>
      <c r="S24" s="104"/>
      <c r="T24" s="104"/>
      <c r="U24" s="103"/>
      <c r="V24" s="104"/>
      <c r="W24" s="104"/>
      <c r="X24" s="104"/>
      <c r="Y24" s="103"/>
      <c r="Z24" s="99"/>
      <c r="AA24" s="45"/>
      <c r="AB24" s="17"/>
      <c r="AC24" s="57"/>
      <c r="AD24" s="108"/>
      <c r="AE24" s="82"/>
      <c r="AF24" s="82"/>
      <c r="AG24" s="82"/>
      <c r="AH24" s="82"/>
      <c r="AI24" s="82" t="s">
        <v>57</v>
      </c>
      <c r="AJ24" s="82"/>
    </row>
    <row r="25" spans="1:36" x14ac:dyDescent="0.2">
      <c r="A25" s="54"/>
      <c r="B25" s="9"/>
      <c r="C25" s="97"/>
      <c r="D25" s="19"/>
      <c r="E25" s="97"/>
      <c r="F25" s="97"/>
      <c r="G25" s="19"/>
      <c r="H25" s="36"/>
      <c r="I25" s="61"/>
      <c r="J25" s="54"/>
      <c r="K25" s="102"/>
      <c r="L25" s="94"/>
      <c r="M25" s="103"/>
      <c r="N25" s="104"/>
      <c r="O25" s="104"/>
      <c r="P25" s="104"/>
      <c r="Q25" s="103"/>
      <c r="R25" s="104"/>
      <c r="S25" s="104"/>
      <c r="T25" s="104"/>
      <c r="U25" s="103"/>
      <c r="V25" s="104"/>
      <c r="W25" s="104"/>
      <c r="X25" s="104"/>
      <c r="Y25" s="103"/>
      <c r="Z25" s="99"/>
      <c r="AA25" s="45"/>
      <c r="AB25" s="17"/>
      <c r="AC25" s="57"/>
      <c r="AD25" s="108"/>
      <c r="AE25" s="82"/>
      <c r="AF25" s="82"/>
      <c r="AG25" s="82"/>
      <c r="AH25" s="82"/>
      <c r="AI25" s="82" t="s">
        <v>59</v>
      </c>
      <c r="AJ25" s="82"/>
    </row>
    <row r="26" spans="1:36" x14ac:dyDescent="0.2">
      <c r="A26" s="54"/>
      <c r="B26" s="9"/>
      <c r="C26" s="97"/>
      <c r="D26" s="19"/>
      <c r="E26" s="97"/>
      <c r="F26" s="97"/>
      <c r="G26" s="19"/>
      <c r="H26" s="36"/>
      <c r="I26" s="61"/>
      <c r="J26" s="54"/>
      <c r="K26" s="102"/>
      <c r="L26" s="94"/>
      <c r="M26" s="103"/>
      <c r="N26" s="104"/>
      <c r="O26" s="104"/>
      <c r="P26" s="104"/>
      <c r="Q26" s="103"/>
      <c r="R26" s="104"/>
      <c r="S26" s="104"/>
      <c r="T26" s="104"/>
      <c r="U26" s="103"/>
      <c r="V26" s="104"/>
      <c r="W26" s="104"/>
      <c r="X26" s="104"/>
      <c r="Y26" s="103"/>
      <c r="Z26" s="99"/>
      <c r="AA26" s="45"/>
      <c r="AB26" s="17"/>
      <c r="AC26" s="57"/>
      <c r="AD26" s="108"/>
      <c r="AE26" s="82">
        <v>50</v>
      </c>
      <c r="AF26" s="82">
        <v>8.0000000000000002E-3</v>
      </c>
      <c r="AG26" s="82">
        <v>0.03</v>
      </c>
      <c r="AH26" s="82"/>
      <c r="AI26" s="82"/>
      <c r="AJ26" s="82"/>
    </row>
    <row r="27" spans="1:36" x14ac:dyDescent="0.2">
      <c r="A27" s="54"/>
      <c r="B27" s="9"/>
      <c r="C27" s="97"/>
      <c r="D27" s="19"/>
      <c r="E27" s="97"/>
      <c r="F27" s="97"/>
      <c r="G27" s="19"/>
      <c r="H27" s="36"/>
      <c r="I27" s="61"/>
      <c r="J27" s="54"/>
      <c r="K27" s="102"/>
      <c r="L27" s="94"/>
      <c r="M27" s="103"/>
      <c r="N27" s="104"/>
      <c r="O27" s="104"/>
      <c r="P27" s="104"/>
      <c r="Q27" s="103"/>
      <c r="R27" s="104"/>
      <c r="S27" s="104"/>
      <c r="T27" s="104"/>
      <c r="U27" s="103"/>
      <c r="V27" s="104"/>
      <c r="W27" s="104"/>
      <c r="X27" s="104"/>
      <c r="Y27" s="103"/>
      <c r="Z27" s="99"/>
      <c r="AA27" s="45"/>
      <c r="AB27" s="17"/>
      <c r="AC27" s="57"/>
      <c r="AD27" s="108"/>
      <c r="AE27" s="82">
        <v>100</v>
      </c>
      <c r="AF27" s="82">
        <f>AF26*2</f>
        <v>1.6E-2</v>
      </c>
      <c r="AG27" s="82">
        <f>AG26*2</f>
        <v>0.06</v>
      </c>
      <c r="AH27" s="82"/>
      <c r="AI27" s="82"/>
      <c r="AJ27" s="82"/>
    </row>
    <row r="28" spans="1:36" x14ac:dyDescent="0.2">
      <c r="A28" s="54"/>
      <c r="B28" s="9" t="str">
        <f>IF(C46="MXP-504","MXP-504 SUPPLY OUTPUT LOADS",(IF(C46="MXP-504/508","MXP-504 SUPPLY OUTPUT LOADS","")))</f>
        <v/>
      </c>
      <c r="C28" s="89">
        <v>0</v>
      </c>
      <c r="D28" s="29">
        <v>1</v>
      </c>
      <c r="E28" s="97">
        <f>IF(C46="none",0,C28*D28)</f>
        <v>0</v>
      </c>
      <c r="F28" s="89">
        <v>0</v>
      </c>
      <c r="G28" s="29">
        <v>1</v>
      </c>
      <c r="H28" s="36">
        <f>IF(C46="none",0,F28*G28)</f>
        <v>0</v>
      </c>
      <c r="I28" s="61"/>
      <c r="J28" s="54"/>
      <c r="K28" s="102"/>
      <c r="L28" s="94"/>
      <c r="M28" s="103"/>
      <c r="N28" s="104"/>
      <c r="O28" s="104"/>
      <c r="P28" s="104"/>
      <c r="Q28" s="103"/>
      <c r="R28" s="104"/>
      <c r="S28" s="104"/>
      <c r="T28" s="104"/>
      <c r="U28" s="103"/>
      <c r="V28" s="104"/>
      <c r="W28" s="104"/>
      <c r="X28" s="104"/>
      <c r="Y28" s="103"/>
      <c r="Z28" s="99"/>
      <c r="AA28" s="45"/>
      <c r="AB28" s="17"/>
      <c r="AC28" s="57"/>
      <c r="AD28" s="108"/>
      <c r="AE28" s="82">
        <v>150</v>
      </c>
      <c r="AF28" s="82">
        <f>AF26*3</f>
        <v>2.4E-2</v>
      </c>
      <c r="AG28" s="82">
        <f>AG26*3</f>
        <v>0.09</v>
      </c>
      <c r="AH28" s="82"/>
      <c r="AI28" s="82"/>
      <c r="AJ28" s="82"/>
    </row>
    <row r="29" spans="1:36" x14ac:dyDescent="0.2">
      <c r="A29" s="54"/>
      <c r="B29" s="6" t="s">
        <v>42</v>
      </c>
      <c r="C29" s="110">
        <v>0.1</v>
      </c>
      <c r="D29" s="32">
        <v>1</v>
      </c>
      <c r="E29" s="33">
        <f t="shared" si="0"/>
        <v>0.1</v>
      </c>
      <c r="F29" s="89">
        <v>0</v>
      </c>
      <c r="G29" s="32">
        <v>1</v>
      </c>
      <c r="H29" s="36">
        <f>F29*G29</f>
        <v>0</v>
      </c>
      <c r="I29" s="61"/>
      <c r="J29" s="54"/>
      <c r="K29" s="102"/>
      <c r="L29" s="94"/>
      <c r="M29" s="103"/>
      <c r="N29" s="104"/>
      <c r="O29" s="104"/>
      <c r="P29" s="104"/>
      <c r="Q29" s="103"/>
      <c r="R29" s="104"/>
      <c r="S29" s="104"/>
      <c r="T29" s="104"/>
      <c r="U29" s="103"/>
      <c r="V29" s="104"/>
      <c r="W29" s="104"/>
      <c r="X29" s="104"/>
      <c r="Y29" s="103"/>
      <c r="Z29" s="99"/>
      <c r="AA29" s="45"/>
      <c r="AB29" s="17"/>
      <c r="AC29" s="57"/>
      <c r="AD29" s="108"/>
      <c r="AE29" s="82">
        <v>200</v>
      </c>
      <c r="AF29" s="82">
        <f>AF26*4</f>
        <v>3.2000000000000001E-2</v>
      </c>
      <c r="AG29" s="82">
        <f>AG26*4</f>
        <v>0.12</v>
      </c>
      <c r="AH29" s="82"/>
      <c r="AI29" s="82"/>
      <c r="AJ29" s="82"/>
    </row>
    <row r="30" spans="1:36" x14ac:dyDescent="0.2">
      <c r="A30" s="54"/>
      <c r="B30" s="28"/>
      <c r="C30" s="17"/>
      <c r="D30" s="29"/>
      <c r="E30" s="17"/>
      <c r="F30" s="30"/>
      <c r="G30" s="18"/>
      <c r="H30" s="31"/>
      <c r="I30" s="61"/>
      <c r="J30" s="54"/>
      <c r="K30" s="102"/>
      <c r="L30" s="94"/>
      <c r="M30" s="103"/>
      <c r="N30" s="104"/>
      <c r="O30" s="104"/>
      <c r="P30" s="104"/>
      <c r="Q30" s="103"/>
      <c r="R30" s="104"/>
      <c r="S30" s="104"/>
      <c r="T30" s="104"/>
      <c r="U30" s="103"/>
      <c r="V30" s="104"/>
      <c r="W30" s="104"/>
      <c r="X30" s="104"/>
      <c r="Y30" s="103"/>
      <c r="Z30" s="99"/>
      <c r="AA30" s="45"/>
      <c r="AB30" s="17"/>
      <c r="AC30" s="57"/>
      <c r="AD30" s="108"/>
      <c r="AE30" s="82">
        <v>250</v>
      </c>
      <c r="AF30" s="82">
        <f>AF26*5</f>
        <v>0.04</v>
      </c>
      <c r="AG30" s="82">
        <f>AG26*5</f>
        <v>0.15</v>
      </c>
      <c r="AH30" s="82"/>
      <c r="AI30" s="82"/>
      <c r="AJ30" s="82"/>
    </row>
    <row r="31" spans="1:36" x14ac:dyDescent="0.2">
      <c r="A31" s="54"/>
      <c r="B31" s="6" t="s">
        <v>19</v>
      </c>
      <c r="C31" s="22"/>
      <c r="D31" s="4"/>
      <c r="E31" s="25"/>
      <c r="F31" s="90">
        <v>0</v>
      </c>
      <c r="G31" s="32">
        <v>1</v>
      </c>
      <c r="H31" s="36">
        <f>F31*G31</f>
        <v>0</v>
      </c>
      <c r="I31" s="61"/>
      <c r="J31" s="54"/>
      <c r="K31" s="102"/>
      <c r="L31" s="94"/>
      <c r="M31" s="103"/>
      <c r="N31" s="104"/>
      <c r="O31" s="104"/>
      <c r="P31" s="104"/>
      <c r="Q31" s="103"/>
      <c r="R31" s="104"/>
      <c r="S31" s="104"/>
      <c r="T31" s="104"/>
      <c r="U31" s="103"/>
      <c r="V31" s="104"/>
      <c r="W31" s="104"/>
      <c r="X31" s="104"/>
      <c r="Y31" s="103"/>
      <c r="Z31" s="99"/>
      <c r="AA31" s="45"/>
      <c r="AB31" s="17"/>
      <c r="AC31" s="57"/>
      <c r="AD31" s="108"/>
      <c r="AE31" s="82" t="s">
        <v>46</v>
      </c>
      <c r="AF31" s="82">
        <v>8.0000000000000002E-3</v>
      </c>
      <c r="AG31" s="82">
        <v>0.12</v>
      </c>
      <c r="AH31" s="82"/>
      <c r="AI31" s="82"/>
      <c r="AJ31" s="82"/>
    </row>
    <row r="32" spans="1:36" x14ac:dyDescent="0.2">
      <c r="A32" s="54"/>
      <c r="B32" s="6" t="s">
        <v>20</v>
      </c>
      <c r="C32" s="22"/>
      <c r="D32" s="4"/>
      <c r="E32" s="25"/>
      <c r="F32" s="90">
        <v>0</v>
      </c>
      <c r="G32" s="32">
        <v>1</v>
      </c>
      <c r="H32" s="36">
        <f>F32*G32</f>
        <v>0</v>
      </c>
      <c r="I32" s="61"/>
      <c r="J32" s="54"/>
      <c r="K32" s="102"/>
      <c r="L32" s="94"/>
      <c r="M32" s="103"/>
      <c r="N32" s="104"/>
      <c r="O32" s="104"/>
      <c r="P32" s="104"/>
      <c r="Q32" s="103"/>
      <c r="R32" s="104"/>
      <c r="S32" s="104"/>
      <c r="T32" s="104"/>
      <c r="U32" s="103"/>
      <c r="V32" s="104"/>
      <c r="W32" s="104"/>
      <c r="X32" s="104"/>
      <c r="Y32" s="103"/>
      <c r="Z32" s="99"/>
      <c r="AA32" s="45"/>
      <c r="AB32" s="17"/>
      <c r="AC32" s="57"/>
      <c r="AD32" s="108"/>
      <c r="AE32" s="82" t="s">
        <v>1</v>
      </c>
      <c r="AF32" s="82">
        <v>0</v>
      </c>
      <c r="AG32" s="82">
        <v>0</v>
      </c>
      <c r="AH32" s="82"/>
      <c r="AI32" s="82"/>
      <c r="AJ32" s="82"/>
    </row>
    <row r="33" spans="1:36" x14ac:dyDescent="0.2">
      <c r="A33" s="54"/>
      <c r="B33" s="6" t="str">
        <f>IF(B13=5400,"Sounder Output C","")</f>
        <v>Sounder Output C</v>
      </c>
      <c r="C33" s="22"/>
      <c r="D33" s="4"/>
      <c r="E33" s="25"/>
      <c r="F33" s="90">
        <v>0</v>
      </c>
      <c r="G33" s="32">
        <v>1</v>
      </c>
      <c r="H33" s="36">
        <f>IF(B13&lt;&gt;5400,0,F33*G33)</f>
        <v>0</v>
      </c>
      <c r="I33" s="61"/>
      <c r="J33" s="54"/>
      <c r="K33" s="102"/>
      <c r="L33" s="94"/>
      <c r="M33" s="103"/>
      <c r="N33" s="104"/>
      <c r="O33" s="104"/>
      <c r="P33" s="104"/>
      <c r="Q33" s="103"/>
      <c r="R33" s="104"/>
      <c r="S33" s="104"/>
      <c r="T33" s="104"/>
      <c r="U33" s="103"/>
      <c r="V33" s="104"/>
      <c r="W33" s="104"/>
      <c r="X33" s="104"/>
      <c r="Y33" s="103"/>
      <c r="Z33" s="99"/>
      <c r="AA33" s="45"/>
      <c r="AB33" s="17"/>
      <c r="AC33" s="57"/>
      <c r="AD33" s="108"/>
      <c r="AE33" s="82"/>
      <c r="AF33" s="82"/>
      <c r="AG33" s="82"/>
      <c r="AH33" s="82"/>
      <c r="AI33" s="82"/>
      <c r="AJ33" s="82"/>
    </row>
    <row r="34" spans="1:36" x14ac:dyDescent="0.2">
      <c r="A34" s="54"/>
      <c r="B34" s="6" t="str">
        <f>IF(B13=5400,"Sounder Output D","")</f>
        <v>Sounder Output D</v>
      </c>
      <c r="C34" s="22"/>
      <c r="D34" s="4"/>
      <c r="E34" s="26"/>
      <c r="F34" s="90">
        <v>0</v>
      </c>
      <c r="G34" s="32">
        <v>1</v>
      </c>
      <c r="H34" s="36">
        <f>IF(B13&lt;&gt;5400,0,F34*G34)</f>
        <v>0</v>
      </c>
      <c r="I34" s="61"/>
      <c r="J34" s="54"/>
      <c r="K34" s="102"/>
      <c r="L34" s="94"/>
      <c r="M34" s="103"/>
      <c r="N34" s="104"/>
      <c r="O34" s="104"/>
      <c r="P34" s="104"/>
      <c r="Q34" s="103"/>
      <c r="R34" s="104"/>
      <c r="S34" s="104"/>
      <c r="T34" s="104"/>
      <c r="U34" s="103"/>
      <c r="V34" s="104"/>
      <c r="W34" s="104"/>
      <c r="X34" s="104"/>
      <c r="Y34" s="103"/>
      <c r="Z34" s="99"/>
      <c r="AA34" s="45"/>
      <c r="AB34" s="17"/>
      <c r="AC34" s="57"/>
      <c r="AD34" s="108"/>
      <c r="AE34" s="82"/>
      <c r="AF34" s="82"/>
      <c r="AG34" s="82"/>
      <c r="AH34" s="82"/>
      <c r="AI34" s="82"/>
      <c r="AJ34" s="82"/>
    </row>
    <row r="35" spans="1:36" x14ac:dyDescent="0.2">
      <c r="A35" s="54"/>
      <c r="B35" s="46" t="s">
        <v>13</v>
      </c>
      <c r="C35" s="47" t="s">
        <v>45</v>
      </c>
      <c r="D35" s="48"/>
      <c r="E35" s="50">
        <f>SUM(E14:E29)</f>
        <v>0.45185500000000001</v>
      </c>
      <c r="F35" s="47" t="s">
        <v>21</v>
      </c>
      <c r="G35" s="48"/>
      <c r="H35" s="49">
        <f>SUM(H14:H34)</f>
        <v>1.3738300000000001</v>
      </c>
      <c r="I35" s="61"/>
      <c r="J35" s="54"/>
      <c r="K35" s="105"/>
      <c r="L35" s="94"/>
      <c r="M35" s="103"/>
      <c r="N35" s="104"/>
      <c r="O35" s="104"/>
      <c r="P35" s="104"/>
      <c r="Q35" s="103"/>
      <c r="R35" s="104"/>
      <c r="S35" s="104"/>
      <c r="T35" s="104"/>
      <c r="U35" s="103"/>
      <c r="V35" s="104"/>
      <c r="W35" s="104"/>
      <c r="X35" s="104"/>
      <c r="Y35" s="103"/>
      <c r="Z35" s="100"/>
      <c r="AA35" s="17"/>
      <c r="AB35" s="17"/>
      <c r="AC35" s="57"/>
      <c r="AD35" s="108"/>
      <c r="AE35" s="82"/>
      <c r="AF35" s="82"/>
      <c r="AG35" s="82">
        <v>6.1999999999999998E-3</v>
      </c>
      <c r="AH35" s="82"/>
      <c r="AI35" s="82"/>
      <c r="AJ35" s="82"/>
    </row>
    <row r="36" spans="1:36" x14ac:dyDescent="0.2">
      <c r="A36" s="54"/>
      <c r="B36" s="9" t="s">
        <v>22</v>
      </c>
      <c r="C36" s="91">
        <v>24</v>
      </c>
      <c r="D36" s="10" t="s">
        <v>23</v>
      </c>
      <c r="E36" s="39">
        <f>E35*C36</f>
        <v>10.844519999999999</v>
      </c>
      <c r="F36" s="11"/>
      <c r="G36" s="80" t="s">
        <v>60</v>
      </c>
      <c r="H36" s="37">
        <f>H35*1.75*0.5</f>
        <v>1.2021012500000001</v>
      </c>
      <c r="I36" s="61"/>
      <c r="J36" s="54"/>
      <c r="K36" s="105"/>
      <c r="L36" s="105"/>
      <c r="M36" s="103"/>
      <c r="N36" s="104"/>
      <c r="O36" s="104"/>
      <c r="P36" s="104"/>
      <c r="Q36" s="103"/>
      <c r="R36" s="104"/>
      <c r="S36" s="104"/>
      <c r="T36" s="104"/>
      <c r="U36" s="103"/>
      <c r="V36" s="104"/>
      <c r="W36" s="104"/>
      <c r="X36" s="104"/>
      <c r="Y36" s="103"/>
      <c r="Z36" s="100"/>
      <c r="AA36" s="17"/>
      <c r="AB36" s="17"/>
      <c r="AC36" s="57"/>
      <c r="AD36" s="108"/>
      <c r="AE36" s="82"/>
      <c r="AF36" s="82"/>
      <c r="AG36" s="82">
        <v>0</v>
      </c>
      <c r="AH36" s="82"/>
      <c r="AI36" s="82"/>
      <c r="AJ36" s="82"/>
    </row>
    <row r="37" spans="1:36" x14ac:dyDescent="0.2">
      <c r="A37" s="54"/>
      <c r="B37" s="56"/>
      <c r="C37" s="12"/>
      <c r="D37" s="8"/>
      <c r="E37" s="13"/>
      <c r="F37" s="14" t="s">
        <v>24</v>
      </c>
      <c r="G37" s="8"/>
      <c r="H37" s="38">
        <f>E36</f>
        <v>10.844519999999999</v>
      </c>
      <c r="I37" s="61"/>
      <c r="J37" s="54"/>
      <c r="K37" s="105"/>
      <c r="L37" s="105"/>
      <c r="M37" s="103"/>
      <c r="N37" s="104"/>
      <c r="O37" s="104"/>
      <c r="P37" s="104"/>
      <c r="Q37" s="103"/>
      <c r="R37" s="104"/>
      <c r="S37" s="104"/>
      <c r="T37" s="104"/>
      <c r="U37" s="103"/>
      <c r="V37" s="104"/>
      <c r="W37" s="104"/>
      <c r="X37" s="104"/>
      <c r="Y37" s="103"/>
      <c r="Z37" s="100"/>
      <c r="AA37" s="17"/>
      <c r="AB37" s="17"/>
      <c r="AC37" s="57"/>
      <c r="AD37" s="108"/>
      <c r="AE37" s="82"/>
      <c r="AF37" s="82"/>
      <c r="AG37" s="82"/>
      <c r="AH37" s="82"/>
      <c r="AI37" s="82"/>
      <c r="AJ37" s="82"/>
    </row>
    <row r="38" spans="1:36" x14ac:dyDescent="0.2">
      <c r="A38" s="54"/>
      <c r="B38" s="56"/>
      <c r="C38" s="12"/>
      <c r="D38" s="13"/>
      <c r="E38" s="13"/>
      <c r="F38" s="13"/>
      <c r="G38" s="15" t="s">
        <v>25</v>
      </c>
      <c r="H38" s="38">
        <f>SUM(H36:H37)</f>
        <v>12.046621249999999</v>
      </c>
      <c r="I38" s="62"/>
      <c r="J38" s="54"/>
      <c r="K38" s="105"/>
      <c r="L38" s="105"/>
      <c r="M38" s="103"/>
      <c r="N38" s="104"/>
      <c r="O38" s="104"/>
      <c r="P38" s="104"/>
      <c r="Q38" s="103"/>
      <c r="R38" s="104"/>
      <c r="S38" s="104"/>
      <c r="T38" s="104"/>
      <c r="U38" s="103"/>
      <c r="V38" s="104"/>
      <c r="W38" s="104"/>
      <c r="X38" s="104"/>
      <c r="Y38" s="103"/>
      <c r="Z38" s="100"/>
      <c r="AA38" s="17"/>
      <c r="AB38" s="17"/>
      <c r="AC38" s="57"/>
      <c r="AD38" s="108"/>
      <c r="AE38" s="82" t="s">
        <v>39</v>
      </c>
      <c r="AF38" s="82">
        <v>1.2E-2</v>
      </c>
      <c r="AG38" s="82">
        <v>0.27</v>
      </c>
      <c r="AH38" s="82"/>
      <c r="AI38" s="82"/>
      <c r="AJ38" s="82"/>
    </row>
    <row r="39" spans="1:36" x14ac:dyDescent="0.2">
      <c r="A39" s="54"/>
      <c r="B39" s="56"/>
      <c r="C39" s="16"/>
      <c r="D39" s="11"/>
      <c r="E39" s="11"/>
      <c r="F39" s="11"/>
      <c r="G39" s="10" t="s">
        <v>26</v>
      </c>
      <c r="H39" s="44">
        <f>H38*1.25</f>
        <v>15.0582765625</v>
      </c>
      <c r="I39" s="63"/>
      <c r="J39" s="54"/>
      <c r="K39" s="105"/>
      <c r="L39" s="105"/>
      <c r="M39" s="103"/>
      <c r="N39" s="104"/>
      <c r="O39" s="104"/>
      <c r="P39" s="104"/>
      <c r="Q39" s="103"/>
      <c r="R39" s="104"/>
      <c r="S39" s="104"/>
      <c r="T39" s="104"/>
      <c r="U39" s="103"/>
      <c r="V39" s="104"/>
      <c r="W39" s="104"/>
      <c r="X39" s="104"/>
      <c r="Y39" s="103"/>
      <c r="Z39" s="100"/>
      <c r="AA39" s="17"/>
      <c r="AB39" s="17"/>
      <c r="AC39" s="57"/>
      <c r="AD39" s="108"/>
      <c r="AE39" s="82" t="s">
        <v>1</v>
      </c>
      <c r="AF39" s="82">
        <v>0</v>
      </c>
      <c r="AG39" s="82">
        <v>0</v>
      </c>
      <c r="AH39" s="82"/>
      <c r="AI39" s="82"/>
      <c r="AJ39" s="82"/>
    </row>
    <row r="40" spans="1:36" x14ac:dyDescent="0.2">
      <c r="A40" s="54"/>
      <c r="B40" s="56" t="s">
        <v>44</v>
      </c>
      <c r="C40" s="56"/>
      <c r="D40" s="56"/>
      <c r="E40" s="56"/>
      <c r="F40" s="56"/>
      <c r="G40" s="56"/>
      <c r="H40" s="56"/>
      <c r="I40" s="63"/>
      <c r="J40" s="54"/>
      <c r="K40" s="113"/>
      <c r="L40" s="113"/>
      <c r="M40" s="114"/>
      <c r="N40" s="115">
        <f t="shared" ref="N40:AC40" si="1">SUM(N13:N39)</f>
        <v>0.06</v>
      </c>
      <c r="O40" s="115">
        <f t="shared" si="1"/>
        <v>0.06</v>
      </c>
      <c r="P40" s="115">
        <f t="shared" si="1"/>
        <v>3</v>
      </c>
      <c r="Q40" s="114"/>
      <c r="R40" s="115">
        <f t="shared" si="1"/>
        <v>0</v>
      </c>
      <c r="S40" s="115">
        <f t="shared" si="1"/>
        <v>0</v>
      </c>
      <c r="T40" s="115">
        <f t="shared" si="1"/>
        <v>0</v>
      </c>
      <c r="U40" s="106">
        <f t="shared" si="1"/>
        <v>117</v>
      </c>
      <c r="V40" s="115">
        <f t="shared" si="1"/>
        <v>1.0530000000000001E-2</v>
      </c>
      <c r="W40" s="115">
        <f t="shared" si="1"/>
        <v>0.28738000000000002</v>
      </c>
      <c r="X40" s="115">
        <f t="shared" si="1"/>
        <v>35</v>
      </c>
      <c r="Y40" s="106">
        <f t="shared" si="1"/>
        <v>117</v>
      </c>
      <c r="Z40" s="115">
        <f t="shared" si="1"/>
        <v>1.0530000000000001E-2</v>
      </c>
      <c r="AA40" s="115">
        <f t="shared" si="1"/>
        <v>0.28738000000000002</v>
      </c>
      <c r="AB40" s="115">
        <f t="shared" si="1"/>
        <v>35</v>
      </c>
      <c r="AC40" s="106">
        <f t="shared" si="1"/>
        <v>0</v>
      </c>
      <c r="AD40" s="108"/>
      <c r="AE40" s="82"/>
      <c r="AF40" s="82"/>
      <c r="AG40" s="82"/>
      <c r="AH40" s="82"/>
      <c r="AI40" s="82"/>
      <c r="AJ40" s="82"/>
    </row>
    <row r="41" spans="1:36" x14ac:dyDescent="0.2">
      <c r="A41" s="54"/>
      <c r="B41" s="94" t="s">
        <v>31</v>
      </c>
      <c r="C41" s="119" t="s">
        <v>32</v>
      </c>
      <c r="D41" s="119"/>
      <c r="E41" s="94"/>
      <c r="F41" s="56"/>
      <c r="G41" s="56"/>
      <c r="H41" s="56"/>
      <c r="I41" s="63"/>
      <c r="J41" s="54"/>
      <c r="K41" s="116"/>
      <c r="L41" s="116"/>
      <c r="M41" s="116"/>
      <c r="N41" s="117"/>
      <c r="O41" s="117"/>
      <c r="P41" s="117"/>
      <c r="Q41" s="116"/>
      <c r="R41" s="117"/>
      <c r="S41" s="117"/>
      <c r="T41" s="117"/>
      <c r="U41" s="116"/>
      <c r="V41" s="117"/>
      <c r="W41" s="117"/>
      <c r="X41" s="117"/>
      <c r="Y41" s="103"/>
      <c r="Z41" s="67"/>
      <c r="AA41" s="67"/>
      <c r="AB41" s="67"/>
      <c r="AC41" s="57"/>
      <c r="AD41" s="108"/>
      <c r="AE41" s="82" t="s">
        <v>40</v>
      </c>
      <c r="AF41" s="82">
        <v>2.5000000000000001E-2</v>
      </c>
      <c r="AG41" s="82">
        <v>3.4000000000000002E-2</v>
      </c>
      <c r="AH41" s="82"/>
      <c r="AI41" s="82"/>
      <c r="AJ41" s="82"/>
    </row>
    <row r="42" spans="1:36" x14ac:dyDescent="0.2">
      <c r="A42" s="54"/>
      <c r="B42" s="3" t="s">
        <v>30</v>
      </c>
      <c r="C42" s="127" t="s">
        <v>1</v>
      </c>
      <c r="D42" s="127"/>
      <c r="E42" s="56"/>
      <c r="F42" s="56"/>
      <c r="G42" s="56"/>
      <c r="H42" s="56"/>
      <c r="I42" s="64"/>
      <c r="J42" s="54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67"/>
      <c r="Y42" s="67"/>
      <c r="Z42" s="67"/>
      <c r="AA42" s="67"/>
      <c r="AB42" s="67"/>
      <c r="AC42" s="57"/>
      <c r="AD42" s="108"/>
      <c r="AE42" s="82" t="s">
        <v>41</v>
      </c>
      <c r="AF42" s="82">
        <v>2.5000000000000001E-2</v>
      </c>
      <c r="AG42" s="82">
        <v>9.9000000000000005E-2</v>
      </c>
      <c r="AH42" s="82"/>
      <c r="AI42" s="82"/>
      <c r="AJ42" s="82"/>
    </row>
    <row r="43" spans="1:36" x14ac:dyDescent="0.2">
      <c r="A43" s="54"/>
      <c r="B43" s="94"/>
      <c r="C43" s="119" t="s">
        <v>1</v>
      </c>
      <c r="D43" s="119"/>
      <c r="E43" s="94" t="str">
        <f>IF(C43="NONE","","Alarm load figure is all O/P ON")</f>
        <v/>
      </c>
      <c r="F43" s="96"/>
      <c r="G43" s="96"/>
      <c r="H43" s="56"/>
      <c r="I43" s="57"/>
      <c r="J43" s="54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67"/>
      <c r="Z43" s="23"/>
      <c r="AA43" s="23"/>
      <c r="AB43" s="23"/>
      <c r="AC43" s="57"/>
      <c r="AD43" s="108"/>
      <c r="AE43" s="82" t="s">
        <v>47</v>
      </c>
      <c r="AF43" s="82">
        <v>0.12</v>
      </c>
      <c r="AG43" s="82">
        <v>0.3</v>
      </c>
      <c r="AH43" s="82"/>
      <c r="AI43" s="82"/>
      <c r="AJ43" s="82"/>
    </row>
    <row r="44" spans="1:36" x14ac:dyDescent="0.2">
      <c r="A44" s="54"/>
      <c r="B44" s="94"/>
      <c r="C44" s="119" t="s">
        <v>1</v>
      </c>
      <c r="D44" s="119"/>
      <c r="E44" s="94" t="str">
        <f>IF(C44="NONE","","Alarm load figure is all LED ON")</f>
        <v/>
      </c>
      <c r="F44" s="94"/>
      <c r="G44" s="94"/>
      <c r="H44" s="92"/>
      <c r="I44" s="57"/>
      <c r="J44" s="54"/>
      <c r="K44" s="56"/>
      <c r="L44" s="23" t="s">
        <v>5</v>
      </c>
      <c r="M44" s="20">
        <f>SUM(N13:N39)</f>
        <v>0.06</v>
      </c>
      <c r="N44" s="23"/>
      <c r="O44" s="23"/>
      <c r="P44" s="23"/>
      <c r="Q44" s="20">
        <f>SUM(R13:R39)</f>
        <v>0</v>
      </c>
      <c r="R44" s="23"/>
      <c r="S44" s="23"/>
      <c r="T44" s="23"/>
      <c r="U44" s="20">
        <f>SUM(V13:V39)</f>
        <v>1.0530000000000001E-2</v>
      </c>
      <c r="V44" s="23"/>
      <c r="W44" s="23"/>
      <c r="X44" s="23"/>
      <c r="Y44" s="20">
        <f>SUM(Z13:Z39)</f>
        <v>1.0530000000000001E-2</v>
      </c>
      <c r="Z44" s="4"/>
      <c r="AA44" s="4"/>
      <c r="AB44" s="23"/>
      <c r="AC44" s="57"/>
      <c r="AD44" s="108"/>
      <c r="AE44" s="82" t="s">
        <v>48</v>
      </c>
      <c r="AF44" s="82">
        <v>2.5000000000000001E-2</v>
      </c>
      <c r="AG44" s="82">
        <v>0.03</v>
      </c>
      <c r="AH44" s="82"/>
      <c r="AI44" s="82"/>
      <c r="AJ44" s="82"/>
    </row>
    <row r="45" spans="1:36" x14ac:dyDescent="0.2">
      <c r="A45" s="54"/>
      <c r="B45" s="94"/>
      <c r="C45" s="119" t="s">
        <v>1</v>
      </c>
      <c r="D45" s="119"/>
      <c r="E45" s="94" t="str">
        <f>IF(C45="NONE","","Alarm load figure is PRINTING")</f>
        <v/>
      </c>
      <c r="F45" s="94"/>
      <c r="G45" s="94"/>
      <c r="H45" s="92"/>
      <c r="I45" s="57"/>
      <c r="J45" s="54"/>
      <c r="K45" s="56"/>
      <c r="L45" s="23" t="s">
        <v>4</v>
      </c>
      <c r="M45" s="20">
        <f>SUM(O40+(IF(SUM(M13:M34)&lt;(NBRLED+1),SUM(M13:M34)*0.006,NBRLED*0.006)))</f>
        <v>0.06</v>
      </c>
      <c r="N45" s="20"/>
      <c r="O45" s="20"/>
      <c r="P45" s="20"/>
      <c r="Q45" s="20">
        <f>SUM(S40+(IF(SUM(Q13:Q34)&lt;(NBRLED+1),SUM(Q13:Q34)*0.006,NBRLED*0.006)))</f>
        <v>0</v>
      </c>
      <c r="R45" s="20"/>
      <c r="S45" s="20"/>
      <c r="T45" s="20"/>
      <c r="U45" s="20">
        <f t="shared" ref="U45:AC45" si="2">SUM(W40+(IF(SUM(U13:U34)&lt;(NBRLED+1),SUM(U13:U34)*0.006,NBRLED*0.006)))</f>
        <v>0.28738000000000002</v>
      </c>
      <c r="V45" s="20">
        <f t="shared" si="2"/>
        <v>35.000063179999998</v>
      </c>
      <c r="W45" s="20">
        <f t="shared" si="2"/>
        <v>117.00172428</v>
      </c>
      <c r="X45" s="20">
        <f t="shared" si="2"/>
        <v>1.0530000000000001E-2</v>
      </c>
      <c r="Y45" s="20">
        <f t="shared" si="2"/>
        <v>0.28738000000000002</v>
      </c>
      <c r="Z45" s="20">
        <f t="shared" si="2"/>
        <v>35.000063179999998</v>
      </c>
      <c r="AA45" s="20">
        <f t="shared" si="2"/>
        <v>1.7242800000000001E-3</v>
      </c>
      <c r="AB45" s="20">
        <f t="shared" si="2"/>
        <v>0</v>
      </c>
      <c r="AC45" s="106">
        <f t="shared" si="2"/>
        <v>0</v>
      </c>
      <c r="AD45" s="108"/>
      <c r="AE45" s="82" t="s">
        <v>49</v>
      </c>
      <c r="AF45" s="82">
        <v>0.05</v>
      </c>
      <c r="AG45" s="82">
        <v>0.05</v>
      </c>
      <c r="AH45" s="82"/>
      <c r="AI45" s="82"/>
      <c r="AJ45" s="82"/>
    </row>
    <row r="46" spans="1:36" x14ac:dyDescent="0.2">
      <c r="A46" s="54"/>
      <c r="B46" s="94"/>
      <c r="C46" s="119" t="s">
        <v>1</v>
      </c>
      <c r="D46" s="119"/>
      <c r="E46" s="94" t="str">
        <f>IF(C46="MXP-504","Alarm load figure is all O/P ON", IF(C46="MXP-504/508","Alarm load figure is all O/P ON",""))</f>
        <v/>
      </c>
      <c r="F46" s="94"/>
      <c r="G46" s="94"/>
      <c r="H46" s="92"/>
      <c r="I46" s="57"/>
      <c r="J46" s="54"/>
      <c r="K46" s="56"/>
      <c r="L46" s="23" t="s">
        <v>6</v>
      </c>
      <c r="M46" s="21" t="str">
        <f>IF(SUM(P13:P35)&gt;240,"Too Many",(IF(SUM(M45)&gt;0.5,"Too High","ok")))</f>
        <v>ok</v>
      </c>
      <c r="N46" s="21"/>
      <c r="O46" s="21"/>
      <c r="P46" s="21"/>
      <c r="Q46" s="21" t="str">
        <f>IF(SUM(T13:T35)&gt;240,"Too Many",(IF(SUM(Q45)&gt;0.5,"Too High","ok")))</f>
        <v>ok</v>
      </c>
      <c r="R46" s="21"/>
      <c r="S46" s="21"/>
      <c r="T46" s="21"/>
      <c r="U46" s="21" t="str">
        <f>IF(SUM(X13:X35)&gt;254,"Too Many",(IF(SUM(U45)&gt;0.5,"Too High","ok")))</f>
        <v>ok</v>
      </c>
      <c r="V46" s="21"/>
      <c r="W46" s="21"/>
      <c r="X46" s="21"/>
      <c r="Y46" s="21" t="str">
        <f>IF(SUM(AB13:AB35)&gt;254,"Too Many",(IF(SUM(Y45)&gt;0.5,"Too High","ok")))</f>
        <v>ok</v>
      </c>
      <c r="Z46" s="4"/>
      <c r="AA46" s="4"/>
      <c r="AB46" s="21"/>
      <c r="AC46" s="57"/>
      <c r="AD46" s="108"/>
      <c r="AE46" s="82" t="s">
        <v>1</v>
      </c>
      <c r="AF46" s="82">
        <v>0</v>
      </c>
      <c r="AG46" s="82">
        <v>0</v>
      </c>
      <c r="AH46" s="82"/>
      <c r="AI46" s="82"/>
      <c r="AJ46" s="82"/>
    </row>
    <row r="47" spans="1:36" x14ac:dyDescent="0.2">
      <c r="A47" s="54"/>
      <c r="B47" s="94"/>
      <c r="C47" s="94"/>
      <c r="D47" s="94"/>
      <c r="E47" s="94" t="str">
        <f>IF(C46="MXP-504","Add required FAT,FBF,Router AUX loads above",IF(C46="mxp-504/508","Add required FAT,FBF,Router AUX loads above",""))</f>
        <v/>
      </c>
      <c r="F47" s="94"/>
      <c r="G47" s="94"/>
      <c r="H47" s="92"/>
      <c r="I47" s="57"/>
      <c r="J47" s="54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4"/>
      <c r="AA47" s="4"/>
      <c r="AB47" s="56"/>
      <c r="AC47" s="57"/>
      <c r="AD47" s="108"/>
      <c r="AE47" s="82"/>
      <c r="AF47" s="82"/>
      <c r="AG47" s="82"/>
      <c r="AH47" s="82"/>
      <c r="AI47" s="82"/>
      <c r="AJ47" s="82"/>
    </row>
    <row r="48" spans="1:36" x14ac:dyDescent="0.2">
      <c r="A48" s="54"/>
      <c r="B48" s="94" t="s">
        <v>43</v>
      </c>
      <c r="C48" s="120" t="str">
        <f>IF(H39&gt;45.01,"NONE",IF(H39&gt;17.01,"DEEP",IF(H39&gt;12,"LARGE",IF(B13=5400,"LARGE",IF(H39&gt;7,"MEDIUM",IF(B13=5200,"MEDIUM",IF(C46&lt;&gt;"NONE","MEDIUM",IF(C45&lt;&gt;"NONE","MEDIUM","SMALL"))))))))</f>
        <v>LARGE</v>
      </c>
      <c r="D48" s="120"/>
      <c r="E48" s="120" t="str">
        <f>IF(C48="NONE","MAX BATTERY SIZE IS 45AH",IF(B13&lt;&gt;5100,"",IF(H39&gt;25,"MAX BATTERY SIZE IS 25AH","")))</f>
        <v/>
      </c>
      <c r="F48" s="120"/>
      <c r="G48" s="120"/>
      <c r="H48" s="93"/>
      <c r="I48" s="57"/>
      <c r="J48" s="54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4"/>
      <c r="AA48" s="4"/>
      <c r="AB48" s="56"/>
      <c r="AC48" s="57"/>
      <c r="AD48" s="108"/>
      <c r="AE48" s="82"/>
      <c r="AF48" s="82"/>
      <c r="AG48" s="82"/>
      <c r="AH48" s="82"/>
      <c r="AI48" s="82"/>
      <c r="AJ48" s="82"/>
    </row>
    <row r="49" spans="1:36" ht="13.5" thickBot="1" x14ac:dyDescent="0.25">
      <c r="A49" s="55"/>
      <c r="B49" s="66"/>
      <c r="C49" s="66"/>
      <c r="D49" s="66"/>
      <c r="E49" s="66"/>
      <c r="F49" s="66"/>
      <c r="G49" s="66"/>
      <c r="H49" s="66"/>
      <c r="I49" s="65"/>
      <c r="J49" s="55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9"/>
      <c r="V49" s="66"/>
      <c r="W49" s="66"/>
      <c r="X49" s="66"/>
      <c r="Y49" s="68" t="s">
        <v>73</v>
      </c>
      <c r="Z49" s="24"/>
      <c r="AA49" s="24"/>
      <c r="AB49" s="66"/>
      <c r="AC49" s="65"/>
      <c r="AD49" s="109"/>
      <c r="AE49" s="82"/>
      <c r="AF49" s="82"/>
      <c r="AG49" s="82"/>
      <c r="AH49" s="82"/>
      <c r="AI49" s="82"/>
      <c r="AJ49" s="82"/>
    </row>
    <row r="50" spans="1:36" x14ac:dyDescent="0.2"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AB50" s="42"/>
    </row>
    <row r="51" spans="1:36" x14ac:dyDescent="0.2"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AB51" s="42"/>
    </row>
    <row r="52" spans="1:36" x14ac:dyDescent="0.2"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AB52" s="42"/>
    </row>
    <row r="53" spans="1:36" x14ac:dyDescent="0.2"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AB53" s="42"/>
    </row>
  </sheetData>
  <sheetCalcPr fullCalcOnLoad="1"/>
  <mergeCells count="12">
    <mergeCell ref="C42:D42"/>
    <mergeCell ref="C43:D43"/>
    <mergeCell ref="M10:AA10"/>
    <mergeCell ref="C45:D45"/>
    <mergeCell ref="C46:D46"/>
    <mergeCell ref="E48:G48"/>
    <mergeCell ref="C8:H8"/>
    <mergeCell ref="C9:E9"/>
    <mergeCell ref="G9:H9"/>
    <mergeCell ref="C44:D44"/>
    <mergeCell ref="C48:D48"/>
    <mergeCell ref="C41:D41"/>
  </mergeCells>
  <phoneticPr fontId="0" type="noConversion"/>
  <conditionalFormatting sqref="H18">
    <cfRule type="expression" dxfId="42" priority="11" stopIfTrue="1">
      <formula>"""if($D$12)=0"""</formula>
    </cfRule>
  </conditionalFormatting>
  <conditionalFormatting sqref="C28:G28">
    <cfRule type="expression" dxfId="41" priority="12" stopIfTrue="1">
      <formula>$B$28=""</formula>
    </cfRule>
  </conditionalFormatting>
  <conditionalFormatting sqref="F33:G34">
    <cfRule type="expression" dxfId="40" priority="13" stopIfTrue="1">
      <formula>$B$33=""</formula>
    </cfRule>
  </conditionalFormatting>
  <conditionalFormatting sqref="C48:D48">
    <cfRule type="cellIs" dxfId="39" priority="14" stopIfTrue="1" operator="equal">
      <formula>"NONE"</formula>
    </cfRule>
  </conditionalFormatting>
  <conditionalFormatting sqref="M46">
    <cfRule type="cellIs" dxfId="38" priority="15" stopIfTrue="1" operator="notEqual">
      <formula>"ok"</formula>
    </cfRule>
  </conditionalFormatting>
  <conditionalFormatting sqref="H35">
    <cfRule type="cellIs" priority="16" stopIfTrue="1" operator="lessThanOrEqual">
      <formula>3</formula>
    </cfRule>
    <cfRule type="expression" dxfId="37" priority="17" stopIfTrue="1">
      <formula>$B$13="5100"</formula>
    </cfRule>
    <cfRule type="cellIs" dxfId="36" priority="18" stopIfTrue="1" operator="greaterThan">
      <formula>5.001</formula>
    </cfRule>
  </conditionalFormatting>
  <conditionalFormatting sqref="C17:G18">
    <cfRule type="expression" dxfId="35" priority="8" stopIfTrue="1">
      <formula>$D$18=0</formula>
    </cfRule>
    <cfRule type="expression" dxfId="34" priority="19" stopIfTrue="1">
      <formula>$B$13=5100</formula>
    </cfRule>
  </conditionalFormatting>
  <conditionalFormatting sqref="C19:G22">
    <cfRule type="expression" dxfId="33" priority="20" stopIfTrue="1">
      <formula>$B$13=5100</formula>
    </cfRule>
    <cfRule type="expression" dxfId="32" priority="21" stopIfTrue="1">
      <formula>$B$13=5200</formula>
    </cfRule>
  </conditionalFormatting>
  <conditionalFormatting sqref="E48:G48">
    <cfRule type="cellIs" dxfId="31" priority="22" stopIfTrue="1" operator="notEqual">
      <formula>""</formula>
    </cfRule>
  </conditionalFormatting>
  <conditionalFormatting sqref="H39">
    <cfRule type="cellIs" dxfId="30" priority="23" stopIfTrue="1" operator="lessThanOrEqual">
      <formula>25</formula>
    </cfRule>
    <cfRule type="expression" dxfId="29" priority="24" stopIfTrue="1">
      <formula>$B$13=5100</formula>
    </cfRule>
    <cfRule type="cellIs" dxfId="28" priority="25" stopIfTrue="1" operator="greaterThan">
      <formula>45.01</formula>
    </cfRule>
  </conditionalFormatting>
  <conditionalFormatting sqref="Q13:Q39">
    <cfRule type="expression" dxfId="27" priority="10" stopIfTrue="1">
      <formula>$Q$12="NotFit"</formula>
    </cfRule>
    <cfRule type="expression" dxfId="26" priority="26" stopIfTrue="1">
      <formula>$B$13=5100</formula>
    </cfRule>
  </conditionalFormatting>
  <conditionalFormatting sqref="U44:Y44 Y41 V45:AC45 K42:W42 K43:X43 U13:Y39">
    <cfRule type="expression" dxfId="25" priority="27" stopIfTrue="1">
      <formula>$B$13&lt;&gt;5400</formula>
    </cfRule>
  </conditionalFormatting>
  <conditionalFormatting sqref="Q46">
    <cfRule type="expression" dxfId="24" priority="28" stopIfTrue="1">
      <formula>$B$13=5100</formula>
    </cfRule>
    <cfRule type="cellIs" dxfId="23" priority="29" stopIfTrue="1" operator="notEqual">
      <formula>"ok"</formula>
    </cfRule>
  </conditionalFormatting>
  <conditionalFormatting sqref="Q44:Q45 R45:U45">
    <cfRule type="expression" dxfId="22" priority="30" stopIfTrue="1">
      <formula>$B$13=5100</formula>
    </cfRule>
  </conditionalFormatting>
  <conditionalFormatting sqref="U46 Y46">
    <cfRule type="expression" dxfId="21" priority="31" stopIfTrue="1">
      <formula>$B$13&lt;&gt;5400</formula>
    </cfRule>
    <cfRule type="cellIs" dxfId="20" priority="32" stopIfTrue="1" operator="notEqual">
      <formula>"ok"</formula>
    </cfRule>
  </conditionalFormatting>
  <conditionalFormatting sqref="E35">
    <cfRule type="cellIs" dxfId="19" priority="33" stopIfTrue="1" operator="lessThanOrEqual">
      <formula>1.6</formula>
    </cfRule>
    <cfRule type="expression" dxfId="18" priority="34" stopIfTrue="1">
      <formula>$B$13=5100</formula>
    </cfRule>
    <cfRule type="cellIs" dxfId="17" priority="35" stopIfTrue="1" operator="greaterThan">
      <formula>2.601</formula>
    </cfRule>
  </conditionalFormatting>
  <conditionalFormatting sqref="M10:AB10">
    <cfRule type="expression" dxfId="16" priority="36" stopIfTrue="1">
      <formula>$B$13=5400</formula>
    </cfRule>
  </conditionalFormatting>
  <conditionalFormatting sqref="M10:AA10">
    <cfRule type="expression" dxfId="15" priority="9" stopIfTrue="1">
      <formula>$B$13=5200</formula>
    </cfRule>
  </conditionalFormatting>
  <conditionalFormatting sqref="Q12">
    <cfRule type="expression" dxfId="14" priority="7" stopIfTrue="1">
      <formula>$B$13=5100</formula>
    </cfRule>
  </conditionalFormatting>
  <conditionalFormatting sqref="U12">
    <cfRule type="expression" dxfId="13" priority="6" stopIfTrue="1">
      <formula>$B$13&lt;&gt;5400</formula>
    </cfRule>
  </conditionalFormatting>
  <conditionalFormatting sqref="Y12">
    <cfRule type="expression" dxfId="12" priority="5" stopIfTrue="1">
      <formula>$B$13&lt;&gt;5400</formula>
    </cfRule>
  </conditionalFormatting>
  <conditionalFormatting sqref="U13:U39">
    <cfRule type="expression" dxfId="11" priority="4" stopIfTrue="1">
      <formula>$U$12="NotFit"</formula>
    </cfRule>
  </conditionalFormatting>
  <conditionalFormatting sqref="Y41 K43:X43 K42:W42 Y13:Y39">
    <cfRule type="expression" dxfId="10" priority="3" stopIfTrue="1">
      <formula>$Y$12="NotFit"</formula>
    </cfRule>
  </conditionalFormatting>
  <conditionalFormatting sqref="C19:G20 C21 F21">
    <cfRule type="expression" dxfId="9" priority="2" stopIfTrue="1">
      <formula>$D$20=0</formula>
    </cfRule>
  </conditionalFormatting>
  <conditionalFormatting sqref="C21:G22">
    <cfRule type="expression" dxfId="8" priority="1" stopIfTrue="1">
      <formula>$D$22=0</formula>
    </cfRule>
  </conditionalFormatting>
  <dataValidations xWindow="823" yWindow="246" count="24">
    <dataValidation type="list" allowBlank="1" showInputMessage="1" showErrorMessage="1" sqref="C41:D41">
      <formula1>$AE$13:$AE$15</formula1>
    </dataValidation>
    <dataValidation type="list" allowBlank="1" showInputMessage="1" showErrorMessage="1" sqref="C42">
      <formula1>$AE$17:$AE$19</formula1>
    </dataValidation>
    <dataValidation type="list" allowBlank="1" showInputMessage="1" showErrorMessage="1" sqref="C43">
      <formula1>$AE$21:$AE$23</formula1>
    </dataValidation>
    <dataValidation type="list" allowBlank="1" showInputMessage="1" showErrorMessage="1" promptTitle="ADDRESSABLE DEVICES" prompt="Select the required device type from the list._x000a_The loop loading currents are automatically entered and used." sqref="K13:K34">
      <formula1>Apollo</formula1>
    </dataValidation>
    <dataValidation type="decimal" allowBlank="1" showInputMessage="1" showErrorMessage="1" errorTitle="SOUNDER LOAD" error="Range is 0 to 1.0A" promptTitle="SOUNDER LOAD" prompt="Range: 0 to 1A" sqref="F31:F34">
      <formula1>0</formula1>
      <formula2>1</formula2>
    </dataValidation>
    <dataValidation type="decimal" allowBlank="1" showInputMessage="1" showErrorMessage="1" errorTitle="AUX LOAD" error="Range is 0 to 0.5A" promptTitle="PANEL AUX LOAD" prompt="Enter alarm load supplied from Panel AUX" sqref="F29">
      <formula1>0</formula1>
      <formula2>0.5</formula2>
    </dataValidation>
    <dataValidation type="list" allowBlank="1" showInputMessage="1" showErrorMessage="1" sqref="C36">
      <formula1>$AI$13:$AI$16</formula1>
    </dataValidation>
    <dataValidation allowBlank="1" showInputMessage="1" showErrorMessage="1" promptTitle="PROJECT" prompt="Enter the name of the project / building to which this design applies" sqref="C8:H8"/>
    <dataValidation allowBlank="1" showInputMessage="1" showErrorMessage="1" promptTitle="YOUR NAME" prompt="Enter your name" sqref="C9:E9"/>
    <dataValidation operator="equal" allowBlank="1" showInputMessage="1" showErrorMessage="1" promptTitle="DATE" prompt="Enter date in dd/mm/yyyy format" sqref="G9:H9"/>
    <dataValidation type="decimal" allowBlank="1" showInputMessage="1" showErrorMessage="1" errorTitle="AUX LOAD" error="Range is 0 to 0.5A" promptTitle="AUX LOAD" prompt="Enter quiescent load taken by FAT and Routers" sqref="C28">
      <formula1>0</formula1>
      <formula2>0.5</formula2>
    </dataValidation>
    <dataValidation type="decimal" allowBlank="1" showInputMessage="1" showErrorMessage="1" errorTitle="AUX LOAD" error="Range is 0 to 0.5A" promptTitle="AUX LOAD" prompt="Enter alarm load taken by FAT and Routers" sqref="F28">
      <formula1>0</formula1>
      <formula2>0.5</formula2>
    </dataValidation>
    <dataValidation type="decimal" allowBlank="1" showInputMessage="1" showErrorMessage="1" errorTitle="AUX LOAD MAXIMUM" error="Range is 0 to 0.5A" promptTitle="PANEL AUX LOAD" prompt="Enter quiescent load supplied from Panel AUX" sqref="C29">
      <formula1>0</formula1>
      <formula2>0.5</formula2>
    </dataValidation>
    <dataValidation type="list" allowBlank="1" showInputMessage="1" showErrorMessage="1" promptTitle="PANEL TYPE" prompt="Select the required panel type" sqref="B13">
      <formula1>$AI$19:$AI$21</formula1>
    </dataValidation>
    <dataValidation type="list" allowBlank="1" showInputMessage="1" showErrorMessage="1" sqref="C44">
      <formula1>$AE$26:$AE$32</formula1>
    </dataValidation>
    <dataValidation type="list" allowBlank="1" showInputMessage="1" showErrorMessage="1" sqref="C45">
      <formula1>$AE$38:$AE$39</formula1>
    </dataValidation>
    <dataValidation type="list" allowBlank="1" showInputMessage="1" showErrorMessage="1" sqref="C46:D46">
      <formula1>$AE$41:$AE$46</formula1>
    </dataValidation>
    <dataValidation type="whole" allowBlank="1" showInputMessage="1" showErrorMessage="1" promptTitle="Detector Base Sounders" prompt="Add the number of sounder detector bases." sqref="M38 Q38 U38">
      <formula1>0</formula1>
      <formula2>240</formula2>
    </dataValidation>
    <dataValidation type="whole" allowBlank="1" showInputMessage="1" showErrorMessage="1" errorTitle="Too Many Devices" error="Valid Range is 0-240" promptTitle="Detector Base Relays" prompt="Add the number of relay detector bases." sqref="M37 Q37 U37 Y37:Y38">
      <formula1>0</formula1>
      <formula2>240</formula2>
    </dataValidation>
    <dataValidation type="whole" allowBlank="1" showInputMessage="1" showErrorMessage="1" errorTitle="Too Many Devices" error="Valid Range is 0-240" promptTitle="Detector Base Remote Indicators" prompt="Add the number of remote indicators connected to devices." sqref="M36 Q36 U36 Y36">
      <formula1>0</formula1>
      <formula2>240</formula2>
    </dataValidation>
    <dataValidation type="whole" allowBlank="1" showInputMessage="1" showErrorMessage="1" errorTitle="Too Many Devices" error="Valid Range is 0-224" promptTitle="Wireless Devices" prompt="Enter the number of addressable wireless devices. A maximum of 32 per translator. Add the required number of translators above." sqref="M35 Q35 U35 Y35">
      <formula1>0</formula1>
      <formula2>224</formula2>
    </dataValidation>
    <dataValidation type="whole" allowBlank="1" showInputMessage="1" showErrorMessage="1" errorTitle="Too Many Devices" error="Valid Range is 0-240" sqref="Y13:Y34 Q13:Q34 U13:U34 M13:M34">
      <formula1>0</formula1>
      <formula2>240</formula2>
    </dataValidation>
    <dataValidation type="list" allowBlank="1" showInputMessage="1" showErrorMessage="1" promptTitle="Loop Driver" prompt="Select between &quot;Fitted&quot; and &quot;NotFit&quot;" sqref="Q12 U12 Y12">
      <formula1>$AI$24:$AI$25</formula1>
    </dataValidation>
    <dataValidation allowBlank="1" showInputMessage="1" showErrorMessage="1" promptTitle="Loop Drive" prompt="Loop 1 is always fitted." sqref="M12"/>
  </dataValidations>
  <pageMargins left="0.75" right="0.75" top="1" bottom="1" header="0.5" footer="0.5"/>
  <pageSetup paperSize="9" scale="75" fitToHeight="0" orientation="landscape" r:id="rId1"/>
  <headerFooter alignWithMargins="0"/>
  <ignoredErrors>
    <ignoredError sqref="M45" formulaRange="1"/>
    <ignoredError sqref="H17:H20 H21 E28 H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21" sqref="F21"/>
    </sheetView>
  </sheetViews>
  <sheetFormatPr defaultRowHeight="12.75" x14ac:dyDescent="0.2"/>
  <cols>
    <col min="1" max="1" width="25.85546875" customWidth="1"/>
  </cols>
  <sheetData>
    <row r="1" spans="1:7" x14ac:dyDescent="0.2">
      <c r="A1" s="27" t="s">
        <v>72</v>
      </c>
      <c r="B1" s="3"/>
      <c r="C1" s="5" t="s">
        <v>5</v>
      </c>
      <c r="D1" s="1"/>
      <c r="E1" s="3"/>
      <c r="F1" s="5" t="s">
        <v>10</v>
      </c>
      <c r="G1" s="1"/>
    </row>
    <row r="2" spans="1:7" x14ac:dyDescent="0.2">
      <c r="A2" s="6"/>
      <c r="B2" s="5" t="s">
        <v>11</v>
      </c>
      <c r="C2" s="5" t="s">
        <v>12</v>
      </c>
      <c r="D2" s="5" t="s">
        <v>13</v>
      </c>
      <c r="E2" s="5" t="s">
        <v>11</v>
      </c>
      <c r="F2" s="5" t="s">
        <v>12</v>
      </c>
      <c r="G2" s="5" t="s">
        <v>13</v>
      </c>
    </row>
    <row r="3" spans="1:7" x14ac:dyDescent="0.2">
      <c r="A3" s="6"/>
      <c r="B3" s="5"/>
      <c r="C3" s="5"/>
      <c r="D3" s="5"/>
      <c r="E3" s="86"/>
      <c r="F3" s="5"/>
      <c r="G3" s="5"/>
    </row>
    <row r="4" spans="1:7" x14ac:dyDescent="0.2">
      <c r="A4" s="6" t="s">
        <v>61</v>
      </c>
      <c r="B4" s="85">
        <v>0.1</v>
      </c>
      <c r="C4" s="32">
        <v>4</v>
      </c>
      <c r="D4" s="33">
        <f>B4*C4</f>
        <v>0.4</v>
      </c>
      <c r="E4" s="84">
        <v>0.3</v>
      </c>
      <c r="F4" s="32">
        <f>C4</f>
        <v>4</v>
      </c>
      <c r="G4" s="36">
        <f>E4*F4</f>
        <v>1.2</v>
      </c>
    </row>
    <row r="5" spans="1:7" x14ac:dyDescent="0.2">
      <c r="A5" s="6" t="s">
        <v>62</v>
      </c>
      <c r="B5" s="85">
        <v>2.5000000000000001E-2</v>
      </c>
      <c r="C5" s="32">
        <v>3</v>
      </c>
      <c r="D5" s="33">
        <f>B5*C5</f>
        <v>7.5000000000000011E-2</v>
      </c>
      <c r="E5" s="84">
        <v>0.03</v>
      </c>
      <c r="F5" s="32">
        <f>C5</f>
        <v>3</v>
      </c>
      <c r="G5" s="36">
        <f>E5*F5</f>
        <v>0.09</v>
      </c>
    </row>
    <row r="6" spans="1:7" x14ac:dyDescent="0.2">
      <c r="A6" s="6" t="s">
        <v>63</v>
      </c>
      <c r="B6" s="85">
        <v>0.2</v>
      </c>
      <c r="C6" s="32">
        <v>3</v>
      </c>
      <c r="D6" s="33">
        <f>B6*C6</f>
        <v>0.60000000000000009</v>
      </c>
      <c r="E6" s="84">
        <v>0.06</v>
      </c>
      <c r="F6" s="32">
        <f>C6</f>
        <v>3</v>
      </c>
      <c r="G6" s="36">
        <f>E6*F6</f>
        <v>0.18</v>
      </c>
    </row>
    <row r="7" spans="1:7" x14ac:dyDescent="0.2">
      <c r="A7" s="28"/>
      <c r="B7" s="17"/>
      <c r="C7" s="29"/>
      <c r="D7" s="17"/>
      <c r="E7" s="30"/>
      <c r="F7" s="18"/>
      <c r="G7" s="31"/>
    </row>
    <row r="8" spans="1:7" x14ac:dyDescent="0.2">
      <c r="A8" s="46" t="s">
        <v>13</v>
      </c>
      <c r="B8" s="47" t="s">
        <v>45</v>
      </c>
      <c r="C8" s="48"/>
      <c r="D8" s="50">
        <f>SUM(D2:D4)</f>
        <v>0.4</v>
      </c>
      <c r="E8" s="47" t="s">
        <v>21</v>
      </c>
      <c r="F8" s="48"/>
      <c r="G8" s="49">
        <f>SUM(G4:G7)</f>
        <v>1.47</v>
      </c>
    </row>
    <row r="9" spans="1:7" x14ac:dyDescent="0.2">
      <c r="A9" s="9" t="s">
        <v>22</v>
      </c>
      <c r="B9" s="40">
        <v>24</v>
      </c>
      <c r="C9" s="10" t="s">
        <v>23</v>
      </c>
      <c r="D9" s="39">
        <f>D8*B9</f>
        <v>9.6000000000000014</v>
      </c>
      <c r="E9" s="11"/>
      <c r="F9" s="80" t="s">
        <v>60</v>
      </c>
      <c r="G9" s="37">
        <f>G8*1.75*0.5</f>
        <v>1.2862499999999999</v>
      </c>
    </row>
    <row r="10" spans="1:7" x14ac:dyDescent="0.2">
      <c r="A10" s="56"/>
      <c r="B10" s="12"/>
      <c r="C10" s="8"/>
      <c r="D10" s="13"/>
      <c r="E10" s="14" t="s">
        <v>24</v>
      </c>
      <c r="F10" s="8"/>
      <c r="G10" s="38">
        <f>D9</f>
        <v>9.6000000000000014</v>
      </c>
    </row>
    <row r="11" spans="1:7" x14ac:dyDescent="0.2">
      <c r="A11" s="56"/>
      <c r="B11" s="12"/>
      <c r="C11" s="13"/>
      <c r="D11" s="13"/>
      <c r="E11" s="13"/>
      <c r="F11" s="15" t="s">
        <v>25</v>
      </c>
      <c r="G11" s="38">
        <f>SUM(G9:G10)</f>
        <v>10.88625</v>
      </c>
    </row>
    <row r="12" spans="1:7" x14ac:dyDescent="0.2">
      <c r="A12" s="56"/>
      <c r="B12" s="16"/>
      <c r="C12" s="11"/>
      <c r="D12" s="11"/>
      <c r="E12" s="11"/>
      <c r="F12" s="10" t="s">
        <v>26</v>
      </c>
      <c r="G12" s="44">
        <f>G11*1.25</f>
        <v>13.607812500000001</v>
      </c>
    </row>
  </sheetData>
  <conditionalFormatting sqref="G8">
    <cfRule type="cellIs" priority="7" stopIfTrue="1" operator="lessThanOrEqual">
      <formula>3</formula>
    </cfRule>
    <cfRule type="expression" dxfId="7" priority="8" stopIfTrue="1">
      <formula>#REF!="5100"</formula>
    </cfRule>
    <cfRule type="cellIs" dxfId="6" priority="9" stopIfTrue="1" operator="greaterThan">
      <formula>5.001</formula>
    </cfRule>
  </conditionalFormatting>
  <conditionalFormatting sqref="G12">
    <cfRule type="cellIs" dxfId="5" priority="13" stopIfTrue="1" operator="lessThanOrEqual">
      <formula>25</formula>
    </cfRule>
    <cfRule type="expression" dxfId="4" priority="14" stopIfTrue="1">
      <formula>#REF!=5100</formula>
    </cfRule>
    <cfRule type="cellIs" dxfId="3" priority="15" stopIfTrue="1" operator="greaterThan">
      <formula>45.01</formula>
    </cfRule>
  </conditionalFormatting>
  <conditionalFormatting sqref="D8">
    <cfRule type="cellIs" dxfId="2" priority="16" stopIfTrue="1" operator="lessThanOrEqual">
      <formula>1.6</formula>
    </cfRule>
    <cfRule type="expression" dxfId="1" priority="17" stopIfTrue="1">
      <formula>#REF!=5100</formula>
    </cfRule>
    <cfRule type="cellIs" dxfId="0" priority="18" stopIfTrue="1" operator="greaterThan">
      <formula>2.601</formula>
    </cfRule>
  </conditionalFormatting>
  <dataValidations count="2">
    <dataValidation type="decimal" allowBlank="1" showInputMessage="1" showErrorMessage="1" errorTitle="AUX LOAD MAXIMUM" error="Range is 0 to 0.5A" promptTitle="PANEL AUX LOAD" prompt="Enter quiescent load supplied from Panel AUX" sqref="B4:B6">
      <formula1>0</formula1>
      <formula2>0.5</formula2>
    </dataValidation>
    <dataValidation type="list" allowBlank="1" showInputMessage="1" showErrorMessage="1" sqref="B9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7"/>
  <sheetViews>
    <sheetView workbookViewId="0">
      <selection activeCell="A7" sqref="A7"/>
    </sheetView>
  </sheetViews>
  <sheetFormatPr defaultRowHeight="12.75" x14ac:dyDescent="0.2"/>
  <cols>
    <col min="1" max="1" width="20.5703125" bestFit="1" customWidth="1"/>
    <col min="2" max="2" width="47.7109375" customWidth="1"/>
    <col min="3" max="3" width="11.42578125" style="43" customWidth="1"/>
    <col min="4" max="4" width="11.140625" style="43" customWidth="1"/>
  </cols>
  <sheetData>
    <row r="1" spans="1:6" x14ac:dyDescent="0.2">
      <c r="A1" s="98" t="s">
        <v>64</v>
      </c>
      <c r="B1" t="s">
        <v>66</v>
      </c>
      <c r="C1" s="43">
        <v>9.0000000000000006E-5</v>
      </c>
      <c r="D1" s="43">
        <v>8.0000000000000002E-3</v>
      </c>
      <c r="E1">
        <v>1</v>
      </c>
    </row>
    <row r="2" spans="1:6" x14ac:dyDescent="0.2">
      <c r="A2" s="98" t="s">
        <v>65</v>
      </c>
      <c r="B2" t="s">
        <v>67</v>
      </c>
      <c r="C2" s="43">
        <v>9.0000000000000006E-5</v>
      </c>
      <c r="D2" s="43">
        <v>2.5000000000000001E-2</v>
      </c>
      <c r="E2">
        <v>1</v>
      </c>
    </row>
    <row r="3" spans="1:6" x14ac:dyDescent="0.2">
      <c r="A3" s="71" t="s">
        <v>69</v>
      </c>
      <c r="B3" s="71" t="s">
        <v>51</v>
      </c>
      <c r="C3" s="75">
        <v>9.0000000000000006E-5</v>
      </c>
      <c r="D3" s="43">
        <v>9.0000000000000006E-5</v>
      </c>
      <c r="E3" s="42">
        <v>0</v>
      </c>
    </row>
    <row r="4" spans="1:6" x14ac:dyDescent="0.2">
      <c r="A4" s="23" t="s">
        <v>1</v>
      </c>
      <c r="B4" s="23" t="s">
        <v>0</v>
      </c>
      <c r="C4" s="72">
        <v>0</v>
      </c>
      <c r="D4" s="72">
        <v>0</v>
      </c>
      <c r="E4" s="42">
        <v>0</v>
      </c>
    </row>
    <row r="5" spans="1:6" x14ac:dyDescent="0.2">
      <c r="A5" s="71" t="s">
        <v>70</v>
      </c>
      <c r="B5" s="70" t="s">
        <v>50</v>
      </c>
      <c r="C5" s="72">
        <v>2.0000000000000001E-4</v>
      </c>
      <c r="D5" s="72">
        <v>2.0000000000000001E-4</v>
      </c>
      <c r="E5">
        <v>1</v>
      </c>
    </row>
    <row r="6" spans="1:6" x14ac:dyDescent="0.2">
      <c r="A6" s="70" t="s">
        <v>71</v>
      </c>
      <c r="B6" s="70" t="s">
        <v>53</v>
      </c>
      <c r="C6" s="75">
        <v>0.02</v>
      </c>
      <c r="D6" s="75">
        <v>0.02</v>
      </c>
      <c r="E6" s="42">
        <v>1</v>
      </c>
      <c r="F6" s="23"/>
    </row>
    <row r="7" spans="1:6" x14ac:dyDescent="0.2">
      <c r="A7" s="70"/>
      <c r="B7" s="70"/>
      <c r="C7" s="75"/>
      <c r="D7" s="75"/>
      <c r="E7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FF8D6E6BFDF46AB9127379FC3C535" ma:contentTypeVersion="12" ma:contentTypeDescription="Create a new document." ma:contentTypeScope="" ma:versionID="aa0a8876e32292ddd17ba37ad3f518af">
  <xsd:schema xmlns:xsd="http://www.w3.org/2001/XMLSchema" xmlns:xs="http://www.w3.org/2001/XMLSchema" xmlns:p="http://schemas.microsoft.com/office/2006/metadata/properties" xmlns:ns2="db75705d-2ceb-42b2-9685-1103d3abd9d9" xmlns:ns3="325235b8-07ed-429f-867a-f1f467c86a20" targetNamespace="http://schemas.microsoft.com/office/2006/metadata/properties" ma:root="true" ma:fieldsID="52510f553e659a35dbe3fab6fb734383" ns2:_="" ns3:_="">
    <xsd:import namespace="db75705d-2ceb-42b2-9685-1103d3abd9d9"/>
    <xsd:import namespace="325235b8-07ed-429f-867a-f1f467c86a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5705d-2ceb-42b2-9685-1103d3abd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235b8-07ed-429f-867a-f1f467c86a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B7C8A-E610-48C8-8D33-9C6062FF632B}"/>
</file>

<file path=customXml/itemProps2.xml><?xml version="1.0" encoding="utf-8"?>
<ds:datastoreItem xmlns:ds="http://schemas.openxmlformats.org/officeDocument/2006/customXml" ds:itemID="{6095C2AB-E46A-452A-8105-464B8F1724DD}"/>
</file>

<file path=customXml/itemProps3.xml><?xml version="1.0" encoding="utf-8"?>
<ds:datastoreItem xmlns:ds="http://schemas.openxmlformats.org/officeDocument/2006/customXml" ds:itemID="{00DD9E37-4ACB-4FAE-B92D-848BBFD0E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EACIE</vt:lpstr>
      <vt:lpstr>PSE</vt:lpstr>
      <vt:lpstr>Data</vt:lpstr>
      <vt:lpstr>Apollo</vt:lpstr>
      <vt:lpstr>Device</vt:lpstr>
      <vt:lpstr>NBRLED</vt:lpstr>
      <vt:lpstr>EACIE!Print_Area</vt:lpstr>
    </vt:vector>
  </TitlesOfParts>
  <Company>Advanced Electronics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Duffy</dc:creator>
  <cp:lastModifiedBy>Sophie Skrine</cp:lastModifiedBy>
  <cp:lastPrinted>2012-04-04T17:28:37Z</cp:lastPrinted>
  <dcterms:created xsi:type="dcterms:W3CDTF">2010-04-07T10:28:37Z</dcterms:created>
  <dcterms:modified xsi:type="dcterms:W3CDTF">2020-12-09T15:20:41Z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0x0101007DDFF8D6E6BFDF46AB9127379FC3C535</vt:lpwstr>
  </property>
</Properties>
</file>